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19 - FINANCEIRO\02. Previsão Semanal - Acompanhamento Desembolso\03 - OUTUBRO 2026\"/>
    </mc:Choice>
  </mc:AlternateContent>
  <xr:revisionPtr revIDLastSave="0" documentId="8_{5C974829-352B-4B9B-8429-453247598007}" xr6:coauthVersionLast="47" xr6:coauthVersionMax="47" xr10:uidLastSave="{00000000-0000-0000-0000-000000000000}"/>
  <bookViews>
    <workbookView xWindow="-108" yWindow="-108" windowWidth="23256" windowHeight="12456" tabRatio="500" firstSheet="2" activeTab="6" xr2:uid="{00000000-000D-0000-FFFF-FFFF00000000}"/>
  </bookViews>
  <sheets>
    <sheet name="Resumo" sheetId="1" r:id="rId1"/>
    <sheet name="Impostos_Base" sheetId="2" r:id="rId2"/>
    <sheet name="Cruz_Tributos" sheetId="3" r:id="rId3"/>
    <sheet name="CP_Setembro" sheetId="4" r:id="rId4"/>
    <sheet name="Conciliacao" sheetId="5" r:id="rId5"/>
    <sheet name="Cruzamento" sheetId="6" r:id="rId6"/>
    <sheet name="Tributos" sheetId="7" r:id="rId7"/>
  </sheets>
  <definedNames>
    <definedName name="_xlnm._FilterDatabase" localSheetId="4" hidden="1">Conciliacao!$A$4:$J$90</definedName>
    <definedName name="_xlnm._FilterDatabase" localSheetId="3" hidden="1">CP_Setembro!$A$4:$O$127</definedName>
    <definedName name="_xlnm._FilterDatabase" localSheetId="2" hidden="1">Cruz_Tributos!$A$3:$M$40</definedName>
    <definedName name="_xlnm._FilterDatabase" localSheetId="5" hidden="1">Cruzamento!$A$4:$N$90</definedName>
    <definedName name="_xlnm._FilterDatabase" localSheetId="1" hidden="1">Impostos_Base!$A$3:$V$60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0" i="7" l="1"/>
  <c r="F37" i="7"/>
  <c r="F36" i="7"/>
  <c r="F35" i="7"/>
  <c r="F34" i="7"/>
  <c r="E34" i="7"/>
  <c r="F33" i="7"/>
  <c r="E33" i="7"/>
  <c r="F32" i="7"/>
  <c r="E32" i="7"/>
  <c r="F31" i="7"/>
  <c r="E31" i="7"/>
  <c r="F30" i="7"/>
  <c r="E30" i="7"/>
  <c r="F29" i="7"/>
  <c r="E29" i="7"/>
  <c r="F28" i="7"/>
  <c r="E28" i="7"/>
  <c r="F27" i="7"/>
  <c r="K38" i="3" s="1"/>
  <c r="E27" i="7"/>
  <c r="F26" i="7"/>
  <c r="K15" i="3" s="1"/>
  <c r="E26" i="7"/>
  <c r="F25" i="7"/>
  <c r="E25" i="7"/>
  <c r="F24" i="7"/>
  <c r="E24" i="7"/>
  <c r="F23" i="7"/>
  <c r="E23" i="7"/>
  <c r="F22" i="7"/>
  <c r="E22" i="7"/>
  <c r="F21" i="7"/>
  <c r="E21" i="7"/>
  <c r="F20" i="7"/>
  <c r="E20" i="7"/>
  <c r="F19" i="7"/>
  <c r="E19" i="7"/>
  <c r="F18" i="7"/>
  <c r="E18" i="7"/>
  <c r="F17" i="7"/>
  <c r="E17" i="7"/>
  <c r="F16" i="7"/>
  <c r="E16" i="7"/>
  <c r="F15" i="7"/>
  <c r="E15" i="7"/>
  <c r="F14" i="7"/>
  <c r="K11" i="3" s="1"/>
  <c r="E14" i="7"/>
  <c r="K13" i="7"/>
  <c r="F13" i="7"/>
  <c r="E13" i="7"/>
  <c r="F12" i="7"/>
  <c r="K27" i="3" s="1"/>
  <c r="E12" i="7"/>
  <c r="F11" i="7"/>
  <c r="K14" i="3" s="1"/>
  <c r="E11" i="7"/>
  <c r="J10" i="7"/>
  <c r="I10" i="7"/>
  <c r="K10" i="7" s="1"/>
  <c r="F10" i="7"/>
  <c r="E10" i="7"/>
  <c r="F9" i="7"/>
  <c r="E9" i="7"/>
  <c r="J8" i="7"/>
  <c r="I8" i="7"/>
  <c r="K8" i="7" s="1"/>
  <c r="F8" i="7"/>
  <c r="K39" i="3" s="1"/>
  <c r="E8" i="7"/>
  <c r="J7" i="7"/>
  <c r="I7" i="7"/>
  <c r="F7" i="7"/>
  <c r="K4" i="3" s="1"/>
  <c r="E7" i="7"/>
  <c r="J6" i="7"/>
  <c r="I6" i="7"/>
  <c r="F6" i="7"/>
  <c r="K37" i="3" s="1"/>
  <c r="E6" i="7"/>
  <c r="J5" i="7"/>
  <c r="I5" i="7"/>
  <c r="K5" i="7" s="1"/>
  <c r="F5" i="7"/>
  <c r="E5" i="7"/>
  <c r="F4" i="7"/>
  <c r="E4" i="7"/>
  <c r="G90" i="6"/>
  <c r="D90" i="6"/>
  <c r="B90" i="6"/>
  <c r="A90" i="6"/>
  <c r="G89" i="6"/>
  <c r="D89" i="6"/>
  <c r="B89" i="6"/>
  <c r="A89" i="6"/>
  <c r="G88" i="6"/>
  <c r="D88" i="6"/>
  <c r="B88" i="6"/>
  <c r="A88" i="6"/>
  <c r="G87" i="6"/>
  <c r="D87" i="6"/>
  <c r="B87" i="6"/>
  <c r="A87" i="6"/>
  <c r="G86" i="6"/>
  <c r="D86" i="6"/>
  <c r="B86" i="6"/>
  <c r="A86" i="6"/>
  <c r="G85" i="6"/>
  <c r="D85" i="6"/>
  <c r="B85" i="6"/>
  <c r="A85" i="6"/>
  <c r="G84" i="6"/>
  <c r="D84" i="6"/>
  <c r="B84" i="6"/>
  <c r="A84" i="6"/>
  <c r="G83" i="6"/>
  <c r="D83" i="6"/>
  <c r="B83" i="6"/>
  <c r="A83" i="6"/>
  <c r="G82" i="6"/>
  <c r="D82" i="6"/>
  <c r="B82" i="6"/>
  <c r="A82" i="6"/>
  <c r="G81" i="6"/>
  <c r="D81" i="6"/>
  <c r="B81" i="6"/>
  <c r="A81" i="6"/>
  <c r="G80" i="6"/>
  <c r="D80" i="6"/>
  <c r="B80" i="6"/>
  <c r="A80" i="6"/>
  <c r="G79" i="6"/>
  <c r="D79" i="6"/>
  <c r="B79" i="6"/>
  <c r="A79" i="6"/>
  <c r="G78" i="6"/>
  <c r="D78" i="6"/>
  <c r="B78" i="6"/>
  <c r="A78" i="6"/>
  <c r="G77" i="6"/>
  <c r="D77" i="6"/>
  <c r="B77" i="6"/>
  <c r="A77" i="6"/>
  <c r="G76" i="6"/>
  <c r="D76" i="6"/>
  <c r="B76" i="6"/>
  <c r="A76" i="6"/>
  <c r="G75" i="6"/>
  <c r="D75" i="6"/>
  <c r="B75" i="6"/>
  <c r="A75" i="6"/>
  <c r="G74" i="6"/>
  <c r="D74" i="6"/>
  <c r="B74" i="6"/>
  <c r="A74" i="6"/>
  <c r="G73" i="6"/>
  <c r="D73" i="6"/>
  <c r="B73" i="6"/>
  <c r="A73" i="6"/>
  <c r="G72" i="6"/>
  <c r="D72" i="6"/>
  <c r="B72" i="6"/>
  <c r="A72" i="6"/>
  <c r="G71" i="6"/>
  <c r="D71" i="6"/>
  <c r="B71" i="6"/>
  <c r="A71" i="6"/>
  <c r="G70" i="6"/>
  <c r="D70" i="6"/>
  <c r="B70" i="6"/>
  <c r="A70" i="6"/>
  <c r="G69" i="6"/>
  <c r="D69" i="6"/>
  <c r="B69" i="6"/>
  <c r="A69" i="6"/>
  <c r="G68" i="6"/>
  <c r="D68" i="6"/>
  <c r="B68" i="6"/>
  <c r="A68" i="6"/>
  <c r="G67" i="6"/>
  <c r="D67" i="6"/>
  <c r="B67" i="6"/>
  <c r="A67" i="6"/>
  <c r="G66" i="6"/>
  <c r="D66" i="6"/>
  <c r="B66" i="6"/>
  <c r="A66" i="6"/>
  <c r="G65" i="6"/>
  <c r="D65" i="6"/>
  <c r="B65" i="6"/>
  <c r="A65" i="6"/>
  <c r="G64" i="6"/>
  <c r="D64" i="6"/>
  <c r="B64" i="6"/>
  <c r="A64" i="6"/>
  <c r="G63" i="6"/>
  <c r="D63" i="6"/>
  <c r="B63" i="6"/>
  <c r="A63" i="6"/>
  <c r="G62" i="6"/>
  <c r="D62" i="6"/>
  <c r="B62" i="6"/>
  <c r="A62" i="6"/>
  <c r="G61" i="6"/>
  <c r="D61" i="6"/>
  <c r="B61" i="6"/>
  <c r="A61" i="6"/>
  <c r="G60" i="6"/>
  <c r="D60" i="6"/>
  <c r="B60" i="6"/>
  <c r="A60" i="6"/>
  <c r="G59" i="6"/>
  <c r="D59" i="6"/>
  <c r="B59" i="6"/>
  <c r="A59" i="6"/>
  <c r="G58" i="6"/>
  <c r="D58" i="6"/>
  <c r="B58" i="6"/>
  <c r="A58" i="6"/>
  <c r="G57" i="6"/>
  <c r="D57" i="6"/>
  <c r="B57" i="6"/>
  <c r="A57" i="6"/>
  <c r="G56" i="6"/>
  <c r="D56" i="6"/>
  <c r="B56" i="6"/>
  <c r="A56" i="6"/>
  <c r="G55" i="6"/>
  <c r="D55" i="6"/>
  <c r="B55" i="6"/>
  <c r="A55" i="6"/>
  <c r="G54" i="6"/>
  <c r="D54" i="6"/>
  <c r="B54" i="6"/>
  <c r="A54" i="6"/>
  <c r="G53" i="6"/>
  <c r="D53" i="6"/>
  <c r="B53" i="6"/>
  <c r="A53" i="6"/>
  <c r="G52" i="6"/>
  <c r="D52" i="6"/>
  <c r="B52" i="6"/>
  <c r="A52" i="6"/>
  <c r="G51" i="6"/>
  <c r="D51" i="6"/>
  <c r="B51" i="6"/>
  <c r="A51" i="6"/>
  <c r="G50" i="6"/>
  <c r="D50" i="6"/>
  <c r="B50" i="6"/>
  <c r="A50" i="6"/>
  <c r="G49" i="6"/>
  <c r="D49" i="6"/>
  <c r="B49" i="6"/>
  <c r="A49" i="6"/>
  <c r="G48" i="6"/>
  <c r="D48" i="6"/>
  <c r="B48" i="6"/>
  <c r="A48" i="6"/>
  <c r="G47" i="6"/>
  <c r="D47" i="6"/>
  <c r="B47" i="6"/>
  <c r="A47" i="6"/>
  <c r="G46" i="6"/>
  <c r="D46" i="6"/>
  <c r="B46" i="6"/>
  <c r="A46" i="6"/>
  <c r="G45" i="6"/>
  <c r="D45" i="6"/>
  <c r="B45" i="6"/>
  <c r="A45" i="6"/>
  <c r="G44" i="6"/>
  <c r="D44" i="6"/>
  <c r="B44" i="6"/>
  <c r="A44" i="6"/>
  <c r="G43" i="6"/>
  <c r="D43" i="6"/>
  <c r="B43" i="6"/>
  <c r="A43" i="6"/>
  <c r="G42" i="6"/>
  <c r="D42" i="6"/>
  <c r="B42" i="6"/>
  <c r="A42" i="6"/>
  <c r="G41" i="6"/>
  <c r="D41" i="6"/>
  <c r="B41" i="6"/>
  <c r="A41" i="6"/>
  <c r="G40" i="6"/>
  <c r="D40" i="6"/>
  <c r="B40" i="6"/>
  <c r="A40" i="6"/>
  <c r="G39" i="6"/>
  <c r="D39" i="6"/>
  <c r="B39" i="6"/>
  <c r="A39" i="6"/>
  <c r="G38" i="6"/>
  <c r="D38" i="6"/>
  <c r="B38" i="6"/>
  <c r="A38" i="6"/>
  <c r="G37" i="6"/>
  <c r="D37" i="6"/>
  <c r="B37" i="6"/>
  <c r="A37" i="6"/>
  <c r="G36" i="6"/>
  <c r="D36" i="6"/>
  <c r="B36" i="6"/>
  <c r="A36" i="6"/>
  <c r="G35" i="6"/>
  <c r="D35" i="6"/>
  <c r="B35" i="6"/>
  <c r="A35" i="6"/>
  <c r="G34" i="6"/>
  <c r="D34" i="6"/>
  <c r="B34" i="6"/>
  <c r="A34" i="6"/>
  <c r="G33" i="6"/>
  <c r="D33" i="6"/>
  <c r="B33" i="6"/>
  <c r="A33" i="6"/>
  <c r="G32" i="6"/>
  <c r="D32" i="6"/>
  <c r="B32" i="6"/>
  <c r="A32" i="6"/>
  <c r="G31" i="6"/>
  <c r="D31" i="6"/>
  <c r="B31" i="6"/>
  <c r="A31" i="6"/>
  <c r="G30" i="6"/>
  <c r="D30" i="6"/>
  <c r="B30" i="6"/>
  <c r="A30" i="6"/>
  <c r="G29" i="6"/>
  <c r="D29" i="6"/>
  <c r="B29" i="6"/>
  <c r="A29" i="6"/>
  <c r="G28" i="6"/>
  <c r="D28" i="6"/>
  <c r="B28" i="6"/>
  <c r="A28" i="6"/>
  <c r="G27" i="6"/>
  <c r="D27" i="6"/>
  <c r="B27" i="6"/>
  <c r="A27" i="6"/>
  <c r="G26" i="6"/>
  <c r="D26" i="6"/>
  <c r="B26" i="6"/>
  <c r="A26" i="6"/>
  <c r="G25" i="6"/>
  <c r="D25" i="6"/>
  <c r="B25" i="6"/>
  <c r="A25" i="6"/>
  <c r="G24" i="6"/>
  <c r="D24" i="6"/>
  <c r="B24" i="6"/>
  <c r="A24" i="6"/>
  <c r="G23" i="6"/>
  <c r="D23" i="6"/>
  <c r="B23" i="6"/>
  <c r="A23" i="6"/>
  <c r="G22" i="6"/>
  <c r="D22" i="6"/>
  <c r="B22" i="6"/>
  <c r="A22" i="6"/>
  <c r="G21" i="6"/>
  <c r="D21" i="6"/>
  <c r="B21" i="6"/>
  <c r="A21" i="6"/>
  <c r="G20" i="6"/>
  <c r="D20" i="6"/>
  <c r="B20" i="6"/>
  <c r="A20" i="6"/>
  <c r="G19" i="6"/>
  <c r="D19" i="6"/>
  <c r="B19" i="6"/>
  <c r="A19" i="6"/>
  <c r="G18" i="6"/>
  <c r="D18" i="6"/>
  <c r="B18" i="6"/>
  <c r="A18" i="6"/>
  <c r="G17" i="6"/>
  <c r="D17" i="6"/>
  <c r="B17" i="6"/>
  <c r="A17" i="6"/>
  <c r="G16" i="6"/>
  <c r="D16" i="6"/>
  <c r="B16" i="6"/>
  <c r="A16" i="6"/>
  <c r="G15" i="6"/>
  <c r="D15" i="6"/>
  <c r="B15" i="6"/>
  <c r="A15" i="6"/>
  <c r="G14" i="6"/>
  <c r="D14" i="6"/>
  <c r="B14" i="6"/>
  <c r="A14" i="6"/>
  <c r="G13" i="6"/>
  <c r="D13" i="6"/>
  <c r="B13" i="6"/>
  <c r="A13" i="6"/>
  <c r="G12" i="6"/>
  <c r="D12" i="6"/>
  <c r="B12" i="6"/>
  <c r="A12" i="6"/>
  <c r="G11" i="6"/>
  <c r="D11" i="6"/>
  <c r="B11" i="6"/>
  <c r="A11" i="6"/>
  <c r="G10" i="6"/>
  <c r="D10" i="6"/>
  <c r="B10" i="6"/>
  <c r="A10" i="6"/>
  <c r="G9" i="6"/>
  <c r="D9" i="6"/>
  <c r="B9" i="6"/>
  <c r="A9" i="6"/>
  <c r="G8" i="6"/>
  <c r="D8" i="6"/>
  <c r="B8" i="6"/>
  <c r="A8" i="6"/>
  <c r="G7" i="6"/>
  <c r="D7" i="6"/>
  <c r="B7" i="6"/>
  <c r="A7" i="6"/>
  <c r="G6" i="6"/>
  <c r="D6" i="6"/>
  <c r="B6" i="6"/>
  <c r="A6" i="6"/>
  <c r="G5" i="6"/>
  <c r="D5" i="6"/>
  <c r="B5" i="6"/>
  <c r="A5" i="6"/>
  <c r="F91" i="5"/>
  <c r="E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91" i="5" s="1"/>
  <c r="M127" i="4"/>
  <c r="L127" i="4"/>
  <c r="K127" i="4"/>
  <c r="J127" i="4"/>
  <c r="I127" i="4"/>
  <c r="N126" i="4"/>
  <c r="O126" i="4" s="1"/>
  <c r="A126" i="4"/>
  <c r="N125" i="4"/>
  <c r="O125" i="4" s="1"/>
  <c r="A125" i="4"/>
  <c r="N124" i="4"/>
  <c r="O124" i="4" s="1"/>
  <c r="A124" i="4"/>
  <c r="N123" i="4"/>
  <c r="O123" i="4" s="1"/>
  <c r="A123" i="4"/>
  <c r="N122" i="4"/>
  <c r="O122" i="4" s="1"/>
  <c r="A122" i="4"/>
  <c r="N121" i="4"/>
  <c r="O121" i="4" s="1"/>
  <c r="A121" i="4"/>
  <c r="N120" i="4"/>
  <c r="O120" i="4" s="1"/>
  <c r="A120" i="4"/>
  <c r="N119" i="4"/>
  <c r="O119" i="4" s="1"/>
  <c r="A119" i="4"/>
  <c r="N118" i="4"/>
  <c r="O118" i="4" s="1"/>
  <c r="A118" i="4"/>
  <c r="N117" i="4"/>
  <c r="O117" i="4" s="1"/>
  <c r="A117" i="4"/>
  <c r="N116" i="4"/>
  <c r="O116" i="4" s="1"/>
  <c r="A116" i="4"/>
  <c r="N115" i="4"/>
  <c r="O115" i="4" s="1"/>
  <c r="A115" i="4"/>
  <c r="N114" i="4"/>
  <c r="O114" i="4" s="1"/>
  <c r="A114" i="4"/>
  <c r="N113" i="4"/>
  <c r="O113" i="4" s="1"/>
  <c r="A113" i="4"/>
  <c r="N112" i="4"/>
  <c r="O112" i="4" s="1"/>
  <c r="A112" i="4"/>
  <c r="N111" i="4"/>
  <c r="O111" i="4" s="1"/>
  <c r="A111" i="4"/>
  <c r="N110" i="4"/>
  <c r="O110" i="4" s="1"/>
  <c r="A110" i="4"/>
  <c r="N109" i="4"/>
  <c r="O109" i="4" s="1"/>
  <c r="A109" i="4"/>
  <c r="N108" i="4"/>
  <c r="O108" i="4" s="1"/>
  <c r="A108" i="4"/>
  <c r="N107" i="4"/>
  <c r="O107" i="4" s="1"/>
  <c r="A107" i="4"/>
  <c r="N106" i="4"/>
  <c r="O106" i="4" s="1"/>
  <c r="A106" i="4"/>
  <c r="N105" i="4"/>
  <c r="O105" i="4" s="1"/>
  <c r="A105" i="4"/>
  <c r="N104" i="4"/>
  <c r="O104" i="4" s="1"/>
  <c r="A104" i="4"/>
  <c r="N103" i="4"/>
  <c r="O103" i="4" s="1"/>
  <c r="A103" i="4"/>
  <c r="N102" i="4"/>
  <c r="O102" i="4" s="1"/>
  <c r="A102" i="4"/>
  <c r="N101" i="4"/>
  <c r="O101" i="4" s="1"/>
  <c r="A101" i="4"/>
  <c r="N100" i="4"/>
  <c r="O100" i="4" s="1"/>
  <c r="A100" i="4"/>
  <c r="N99" i="4"/>
  <c r="O99" i="4" s="1"/>
  <c r="A99" i="4"/>
  <c r="N98" i="4"/>
  <c r="O98" i="4" s="1"/>
  <c r="A98" i="4"/>
  <c r="N97" i="4"/>
  <c r="O97" i="4" s="1"/>
  <c r="A97" i="4"/>
  <c r="N96" i="4"/>
  <c r="O96" i="4" s="1"/>
  <c r="A96" i="4"/>
  <c r="N95" i="4"/>
  <c r="O95" i="4" s="1"/>
  <c r="A95" i="4"/>
  <c r="N94" i="4"/>
  <c r="O94" i="4" s="1"/>
  <c r="A94" i="4"/>
  <c r="N93" i="4"/>
  <c r="O93" i="4" s="1"/>
  <c r="A93" i="4"/>
  <c r="N92" i="4"/>
  <c r="O92" i="4" s="1"/>
  <c r="A92" i="4"/>
  <c r="N91" i="4"/>
  <c r="O91" i="4" s="1"/>
  <c r="A91" i="4"/>
  <c r="N90" i="4"/>
  <c r="O90" i="4" s="1"/>
  <c r="A90" i="4"/>
  <c r="N89" i="4"/>
  <c r="O89" i="4" s="1"/>
  <c r="A89" i="4"/>
  <c r="N88" i="4"/>
  <c r="O88" i="4" s="1"/>
  <c r="A88" i="4"/>
  <c r="N87" i="4"/>
  <c r="O87" i="4" s="1"/>
  <c r="A87" i="4"/>
  <c r="N86" i="4"/>
  <c r="O86" i="4" s="1"/>
  <c r="A86" i="4"/>
  <c r="N85" i="4"/>
  <c r="O85" i="4" s="1"/>
  <c r="A85" i="4"/>
  <c r="N84" i="4"/>
  <c r="O84" i="4" s="1"/>
  <c r="A84" i="4"/>
  <c r="N83" i="4"/>
  <c r="O83" i="4" s="1"/>
  <c r="A83" i="4"/>
  <c r="N82" i="4"/>
  <c r="O82" i="4" s="1"/>
  <c r="A82" i="4"/>
  <c r="N81" i="4"/>
  <c r="O81" i="4" s="1"/>
  <c r="A81" i="4"/>
  <c r="N80" i="4"/>
  <c r="O80" i="4" s="1"/>
  <c r="A80" i="4"/>
  <c r="N79" i="4"/>
  <c r="O79" i="4" s="1"/>
  <c r="A79" i="4"/>
  <c r="N78" i="4"/>
  <c r="O78" i="4" s="1"/>
  <c r="A78" i="4"/>
  <c r="N77" i="4"/>
  <c r="O77" i="4" s="1"/>
  <c r="A77" i="4"/>
  <c r="N76" i="4"/>
  <c r="O76" i="4" s="1"/>
  <c r="A76" i="4"/>
  <c r="N75" i="4"/>
  <c r="O75" i="4" s="1"/>
  <c r="A75" i="4"/>
  <c r="N74" i="4"/>
  <c r="O74" i="4" s="1"/>
  <c r="A74" i="4"/>
  <c r="N73" i="4"/>
  <c r="O73" i="4" s="1"/>
  <c r="A73" i="4"/>
  <c r="N72" i="4"/>
  <c r="O72" i="4" s="1"/>
  <c r="A72" i="4"/>
  <c r="N71" i="4"/>
  <c r="O71" i="4" s="1"/>
  <c r="A71" i="4"/>
  <c r="N70" i="4"/>
  <c r="O70" i="4" s="1"/>
  <c r="A70" i="4"/>
  <c r="N69" i="4"/>
  <c r="O69" i="4" s="1"/>
  <c r="A69" i="4"/>
  <c r="N68" i="4"/>
  <c r="O68" i="4" s="1"/>
  <c r="A68" i="4"/>
  <c r="N67" i="4"/>
  <c r="O67" i="4" s="1"/>
  <c r="A67" i="4"/>
  <c r="N66" i="4"/>
  <c r="O66" i="4" s="1"/>
  <c r="A66" i="4"/>
  <c r="N65" i="4"/>
  <c r="O65" i="4" s="1"/>
  <c r="A65" i="4"/>
  <c r="N64" i="4"/>
  <c r="O64" i="4" s="1"/>
  <c r="A64" i="4"/>
  <c r="N63" i="4"/>
  <c r="O63" i="4" s="1"/>
  <c r="A63" i="4"/>
  <c r="N62" i="4"/>
  <c r="O62" i="4" s="1"/>
  <c r="A62" i="4"/>
  <c r="N61" i="4"/>
  <c r="O61" i="4" s="1"/>
  <c r="A61" i="4"/>
  <c r="N60" i="4"/>
  <c r="O60" i="4" s="1"/>
  <c r="A60" i="4"/>
  <c r="N59" i="4"/>
  <c r="O59" i="4" s="1"/>
  <c r="A59" i="4"/>
  <c r="N58" i="4"/>
  <c r="O58" i="4" s="1"/>
  <c r="A58" i="4"/>
  <c r="N57" i="4"/>
  <c r="O57" i="4" s="1"/>
  <c r="A57" i="4"/>
  <c r="N56" i="4"/>
  <c r="O56" i="4" s="1"/>
  <c r="A56" i="4"/>
  <c r="N55" i="4"/>
  <c r="O55" i="4" s="1"/>
  <c r="A55" i="4"/>
  <c r="N54" i="4"/>
  <c r="O54" i="4" s="1"/>
  <c r="A54" i="4"/>
  <c r="N53" i="4"/>
  <c r="O53" i="4" s="1"/>
  <c r="A53" i="4"/>
  <c r="N52" i="4"/>
  <c r="O52" i="4" s="1"/>
  <c r="A52" i="4"/>
  <c r="N51" i="4"/>
  <c r="O51" i="4" s="1"/>
  <c r="A51" i="4"/>
  <c r="N50" i="4"/>
  <c r="O50" i="4" s="1"/>
  <c r="A50" i="4"/>
  <c r="N49" i="4"/>
  <c r="O49" i="4" s="1"/>
  <c r="A49" i="4"/>
  <c r="N48" i="4"/>
  <c r="O48" i="4" s="1"/>
  <c r="A48" i="4"/>
  <c r="N47" i="4"/>
  <c r="O47" i="4" s="1"/>
  <c r="A47" i="4"/>
  <c r="N46" i="4"/>
  <c r="O46" i="4" s="1"/>
  <c r="A46" i="4"/>
  <c r="N45" i="4"/>
  <c r="O45" i="4" s="1"/>
  <c r="A45" i="4"/>
  <c r="N44" i="4"/>
  <c r="O44" i="4" s="1"/>
  <c r="A44" i="4"/>
  <c r="N43" i="4"/>
  <c r="O43" i="4" s="1"/>
  <c r="A43" i="4"/>
  <c r="N42" i="4"/>
  <c r="O42" i="4" s="1"/>
  <c r="A42" i="4"/>
  <c r="N41" i="4"/>
  <c r="O41" i="4" s="1"/>
  <c r="A41" i="4"/>
  <c r="N40" i="4"/>
  <c r="O40" i="4" s="1"/>
  <c r="A40" i="4"/>
  <c r="N39" i="4"/>
  <c r="O39" i="4" s="1"/>
  <c r="A39" i="4"/>
  <c r="N38" i="4"/>
  <c r="O38" i="4" s="1"/>
  <c r="A38" i="4"/>
  <c r="N37" i="4"/>
  <c r="O37" i="4" s="1"/>
  <c r="A37" i="4"/>
  <c r="N36" i="4"/>
  <c r="O36" i="4" s="1"/>
  <c r="A36" i="4"/>
  <c r="N35" i="4"/>
  <c r="O35" i="4" s="1"/>
  <c r="A35" i="4"/>
  <c r="N34" i="4"/>
  <c r="O34" i="4" s="1"/>
  <c r="A34" i="4"/>
  <c r="N33" i="4"/>
  <c r="O33" i="4" s="1"/>
  <c r="A33" i="4"/>
  <c r="N32" i="4"/>
  <c r="O32" i="4" s="1"/>
  <c r="A32" i="4"/>
  <c r="N31" i="4"/>
  <c r="O31" i="4" s="1"/>
  <c r="A31" i="4"/>
  <c r="N30" i="4"/>
  <c r="O30" i="4" s="1"/>
  <c r="A30" i="4"/>
  <c r="N29" i="4"/>
  <c r="O29" i="4" s="1"/>
  <c r="A29" i="4"/>
  <c r="N28" i="4"/>
  <c r="O28" i="4" s="1"/>
  <c r="A28" i="4"/>
  <c r="N27" i="4"/>
  <c r="O27" i="4" s="1"/>
  <c r="A27" i="4"/>
  <c r="N26" i="4"/>
  <c r="O26" i="4" s="1"/>
  <c r="A26" i="4"/>
  <c r="N25" i="4"/>
  <c r="O25" i="4" s="1"/>
  <c r="A25" i="4"/>
  <c r="N24" i="4"/>
  <c r="O24" i="4" s="1"/>
  <c r="A24" i="4"/>
  <c r="N23" i="4"/>
  <c r="O23" i="4" s="1"/>
  <c r="A23" i="4"/>
  <c r="N22" i="4"/>
  <c r="O22" i="4" s="1"/>
  <c r="A22" i="4"/>
  <c r="N21" i="4"/>
  <c r="O21" i="4" s="1"/>
  <c r="A21" i="4"/>
  <c r="N20" i="4"/>
  <c r="O20" i="4" s="1"/>
  <c r="A20" i="4"/>
  <c r="N19" i="4"/>
  <c r="O19" i="4" s="1"/>
  <c r="A19" i="4"/>
  <c r="N18" i="4"/>
  <c r="O18" i="4" s="1"/>
  <c r="A18" i="4"/>
  <c r="N17" i="4"/>
  <c r="O17" i="4" s="1"/>
  <c r="A17" i="4"/>
  <c r="N16" i="4"/>
  <c r="O16" i="4" s="1"/>
  <c r="A16" i="4"/>
  <c r="N15" i="4"/>
  <c r="O15" i="4" s="1"/>
  <c r="A15" i="4"/>
  <c r="N14" i="4"/>
  <c r="O14" i="4" s="1"/>
  <c r="A14" i="4"/>
  <c r="N13" i="4"/>
  <c r="O13" i="4" s="1"/>
  <c r="A13" i="4"/>
  <c r="N12" i="4"/>
  <c r="O12" i="4" s="1"/>
  <c r="A12" i="4"/>
  <c r="N11" i="4"/>
  <c r="O11" i="4" s="1"/>
  <c r="A11" i="4"/>
  <c r="N10" i="4"/>
  <c r="O10" i="4" s="1"/>
  <c r="A10" i="4"/>
  <c r="N9" i="4"/>
  <c r="O9" i="4" s="1"/>
  <c r="A9" i="4"/>
  <c r="N8" i="4"/>
  <c r="O8" i="4" s="1"/>
  <c r="A8" i="4"/>
  <c r="N7" i="4"/>
  <c r="O7" i="4" s="1"/>
  <c r="A7" i="4"/>
  <c r="N6" i="4"/>
  <c r="O6" i="4" s="1"/>
  <c r="A6" i="4"/>
  <c r="N5" i="4"/>
  <c r="A5" i="4"/>
  <c r="D43" i="3"/>
  <c r="J39" i="3"/>
  <c r="I39" i="3"/>
  <c r="H39" i="3"/>
  <c r="G39" i="3"/>
  <c r="E39" i="3"/>
  <c r="D39" i="3"/>
  <c r="F39" i="3" s="1"/>
  <c r="J38" i="3"/>
  <c r="I38" i="3"/>
  <c r="H38" i="3"/>
  <c r="G38" i="3"/>
  <c r="E38" i="3"/>
  <c r="D38" i="3"/>
  <c r="C38" i="3"/>
  <c r="J37" i="3"/>
  <c r="I37" i="3"/>
  <c r="H37" i="3"/>
  <c r="G37" i="3"/>
  <c r="E37" i="3"/>
  <c r="D37" i="3"/>
  <c r="C37" i="3"/>
  <c r="J36" i="3"/>
  <c r="I36" i="3"/>
  <c r="H36" i="3"/>
  <c r="G36" i="3"/>
  <c r="E36" i="3"/>
  <c r="D36" i="3"/>
  <c r="J35" i="3"/>
  <c r="I35" i="3"/>
  <c r="H35" i="3"/>
  <c r="G35" i="3"/>
  <c r="E35" i="3"/>
  <c r="D35" i="3"/>
  <c r="J34" i="3"/>
  <c r="I34" i="3"/>
  <c r="H34" i="3"/>
  <c r="G34" i="3"/>
  <c r="E34" i="3"/>
  <c r="D34" i="3"/>
  <c r="J33" i="3"/>
  <c r="I33" i="3"/>
  <c r="H33" i="3"/>
  <c r="G33" i="3"/>
  <c r="E33" i="3"/>
  <c r="D33" i="3"/>
  <c r="F33" i="3" s="1"/>
  <c r="J32" i="3"/>
  <c r="I32" i="3"/>
  <c r="H32" i="3"/>
  <c r="G32" i="3"/>
  <c r="E32" i="3"/>
  <c r="D32" i="3"/>
  <c r="J31" i="3"/>
  <c r="I31" i="3"/>
  <c r="H31" i="3"/>
  <c r="G31" i="3"/>
  <c r="E31" i="3"/>
  <c r="D31" i="3"/>
  <c r="J30" i="3"/>
  <c r="I30" i="3"/>
  <c r="H30" i="3"/>
  <c r="G30" i="3"/>
  <c r="E30" i="3"/>
  <c r="D30" i="3"/>
  <c r="J29" i="3"/>
  <c r="I29" i="3"/>
  <c r="H29" i="3"/>
  <c r="G29" i="3"/>
  <c r="E29" i="3"/>
  <c r="D29" i="3"/>
  <c r="J28" i="3"/>
  <c r="I28" i="3"/>
  <c r="H28" i="3"/>
  <c r="G28" i="3"/>
  <c r="E28" i="3"/>
  <c r="D28" i="3"/>
  <c r="J27" i="3"/>
  <c r="I27" i="3"/>
  <c r="H27" i="3"/>
  <c r="G27" i="3"/>
  <c r="E27" i="3"/>
  <c r="D27" i="3"/>
  <c r="J26" i="3"/>
  <c r="I26" i="3"/>
  <c r="H26" i="3"/>
  <c r="G26" i="3"/>
  <c r="E26" i="3"/>
  <c r="D26" i="3"/>
  <c r="J25" i="3"/>
  <c r="I25" i="3"/>
  <c r="H25" i="3"/>
  <c r="G25" i="3"/>
  <c r="E25" i="3"/>
  <c r="D25" i="3"/>
  <c r="J24" i="3"/>
  <c r="I24" i="3"/>
  <c r="H24" i="3"/>
  <c r="G24" i="3"/>
  <c r="E24" i="3"/>
  <c r="D24" i="3"/>
  <c r="J23" i="3"/>
  <c r="I23" i="3"/>
  <c r="H23" i="3"/>
  <c r="G23" i="3"/>
  <c r="E23" i="3"/>
  <c r="D23" i="3"/>
  <c r="J22" i="3"/>
  <c r="I22" i="3"/>
  <c r="H22" i="3"/>
  <c r="G22" i="3"/>
  <c r="E22" i="3"/>
  <c r="D22" i="3"/>
  <c r="J21" i="3"/>
  <c r="I21" i="3"/>
  <c r="H21" i="3"/>
  <c r="G21" i="3"/>
  <c r="E21" i="3"/>
  <c r="D21" i="3"/>
  <c r="J20" i="3"/>
  <c r="I20" i="3"/>
  <c r="H20" i="3"/>
  <c r="G20" i="3"/>
  <c r="E20" i="3"/>
  <c r="D20" i="3"/>
  <c r="J19" i="3"/>
  <c r="I19" i="3"/>
  <c r="H19" i="3"/>
  <c r="G19" i="3"/>
  <c r="E19" i="3"/>
  <c r="D19" i="3"/>
  <c r="J18" i="3"/>
  <c r="I18" i="3"/>
  <c r="H18" i="3"/>
  <c r="G18" i="3"/>
  <c r="E18" i="3"/>
  <c r="D18" i="3"/>
  <c r="J17" i="3"/>
  <c r="I17" i="3"/>
  <c r="H17" i="3"/>
  <c r="G17" i="3"/>
  <c r="E17" i="3"/>
  <c r="D17" i="3"/>
  <c r="J16" i="3"/>
  <c r="I16" i="3"/>
  <c r="H16" i="3"/>
  <c r="G16" i="3"/>
  <c r="E16" i="3"/>
  <c r="D16" i="3"/>
  <c r="J15" i="3"/>
  <c r="I15" i="3"/>
  <c r="H15" i="3"/>
  <c r="G15" i="3"/>
  <c r="E15" i="3"/>
  <c r="D15" i="3"/>
  <c r="J14" i="3"/>
  <c r="I14" i="3"/>
  <c r="H14" i="3"/>
  <c r="G14" i="3"/>
  <c r="E14" i="3"/>
  <c r="D14" i="3"/>
  <c r="J13" i="3"/>
  <c r="I13" i="3"/>
  <c r="H13" i="3"/>
  <c r="G13" i="3"/>
  <c r="E13" i="3"/>
  <c r="D13" i="3"/>
  <c r="J12" i="3"/>
  <c r="I12" i="3"/>
  <c r="H12" i="3"/>
  <c r="G12" i="3"/>
  <c r="E12" i="3"/>
  <c r="D12" i="3"/>
  <c r="J11" i="3"/>
  <c r="I11" i="3"/>
  <c r="H11" i="3"/>
  <c r="G11" i="3"/>
  <c r="E11" i="3"/>
  <c r="D11" i="3"/>
  <c r="J10" i="3"/>
  <c r="I10" i="3"/>
  <c r="H10" i="3"/>
  <c r="G10" i="3"/>
  <c r="L10" i="3" s="1"/>
  <c r="E10" i="3"/>
  <c r="D10" i="3"/>
  <c r="J9" i="3"/>
  <c r="I9" i="3"/>
  <c r="H9" i="3"/>
  <c r="G9" i="3"/>
  <c r="L9" i="3" s="1"/>
  <c r="E9" i="3"/>
  <c r="D9" i="3"/>
  <c r="J8" i="3"/>
  <c r="I8" i="3"/>
  <c r="H8" i="3"/>
  <c r="G8" i="3"/>
  <c r="L8" i="3" s="1"/>
  <c r="E8" i="3"/>
  <c r="D8" i="3"/>
  <c r="J7" i="3"/>
  <c r="I7" i="3"/>
  <c r="H7" i="3"/>
  <c r="G7" i="3"/>
  <c r="E7" i="3"/>
  <c r="D7" i="3"/>
  <c r="J6" i="3"/>
  <c r="I6" i="3"/>
  <c r="H6" i="3"/>
  <c r="G6" i="3"/>
  <c r="E6" i="3"/>
  <c r="D6" i="3"/>
  <c r="J5" i="3"/>
  <c r="I5" i="3"/>
  <c r="H5" i="3"/>
  <c r="G5" i="3"/>
  <c r="E5" i="3"/>
  <c r="D5" i="3"/>
  <c r="J4" i="3"/>
  <c r="I4" i="3"/>
  <c r="H4" i="3"/>
  <c r="G4" i="3"/>
  <c r="E4" i="3"/>
  <c r="D4" i="3"/>
  <c r="T61" i="2"/>
  <c r="T63" i="2" s="1"/>
  <c r="S61" i="2"/>
  <c r="R61" i="2"/>
  <c r="V60" i="2"/>
  <c r="A60" i="2"/>
  <c r="V59" i="2"/>
  <c r="A59" i="2"/>
  <c r="V58" i="2"/>
  <c r="A58" i="2"/>
  <c r="V57" i="2"/>
  <c r="A57" i="2"/>
  <c r="V56" i="2"/>
  <c r="A56" i="2"/>
  <c r="V55" i="2"/>
  <c r="A55" i="2"/>
  <c r="V54" i="2"/>
  <c r="A54" i="2"/>
  <c r="V53" i="2"/>
  <c r="A53" i="2"/>
  <c r="V52" i="2"/>
  <c r="A52" i="2"/>
  <c r="V51" i="2"/>
  <c r="A51" i="2"/>
  <c r="V50" i="2"/>
  <c r="A50" i="2"/>
  <c r="V49" i="2"/>
  <c r="A49" i="2"/>
  <c r="V48" i="2"/>
  <c r="A48" i="2"/>
  <c r="V47" i="2"/>
  <c r="A47" i="2"/>
  <c r="V46" i="2"/>
  <c r="A46" i="2"/>
  <c r="V45" i="2"/>
  <c r="A45" i="2"/>
  <c r="V44" i="2"/>
  <c r="A44" i="2"/>
  <c r="V43" i="2"/>
  <c r="A43" i="2"/>
  <c r="V42" i="2"/>
  <c r="A42" i="2"/>
  <c r="V41" i="2"/>
  <c r="A41" i="2"/>
  <c r="V40" i="2"/>
  <c r="A40" i="2"/>
  <c r="V39" i="2"/>
  <c r="A39" i="2"/>
  <c r="V38" i="2"/>
  <c r="A38" i="2"/>
  <c r="V37" i="2"/>
  <c r="A37" i="2"/>
  <c r="V36" i="2"/>
  <c r="A36" i="2"/>
  <c r="V35" i="2"/>
  <c r="A35" i="2"/>
  <c r="V34" i="2"/>
  <c r="A34" i="2"/>
  <c r="V33" i="2"/>
  <c r="A33" i="2"/>
  <c r="V32" i="2"/>
  <c r="A32" i="2"/>
  <c r="V31" i="2"/>
  <c r="A31" i="2"/>
  <c r="V30" i="2"/>
  <c r="A30" i="2"/>
  <c r="V29" i="2"/>
  <c r="A29" i="2"/>
  <c r="V28" i="2"/>
  <c r="A28" i="2"/>
  <c r="V27" i="2"/>
  <c r="A27" i="2"/>
  <c r="V26" i="2"/>
  <c r="A26" i="2"/>
  <c r="V25" i="2"/>
  <c r="A25" i="2"/>
  <c r="V24" i="2"/>
  <c r="A24" i="2"/>
  <c r="V23" i="2"/>
  <c r="A23" i="2"/>
  <c r="V22" i="2"/>
  <c r="A22" i="2"/>
  <c r="V21" i="2"/>
  <c r="A21" i="2"/>
  <c r="V20" i="2"/>
  <c r="A20" i="2"/>
  <c r="V19" i="2"/>
  <c r="A19" i="2"/>
  <c r="V18" i="2"/>
  <c r="A18" i="2"/>
  <c r="V17" i="2"/>
  <c r="A17" i="2"/>
  <c r="V16" i="2"/>
  <c r="A16" i="2"/>
  <c r="V15" i="2"/>
  <c r="A15" i="2"/>
  <c r="V14" i="2"/>
  <c r="A14" i="2"/>
  <c r="V13" i="2"/>
  <c r="A13" i="2"/>
  <c r="V12" i="2"/>
  <c r="A12" i="2"/>
  <c r="V11" i="2"/>
  <c r="A11" i="2"/>
  <c r="V10" i="2"/>
  <c r="A10" i="2"/>
  <c r="V9" i="2"/>
  <c r="A9" i="2"/>
  <c r="V8" i="2"/>
  <c r="A8" i="2"/>
  <c r="V7" i="2"/>
  <c r="A7" i="2"/>
  <c r="V6" i="2"/>
  <c r="A6" i="2"/>
  <c r="V5" i="2"/>
  <c r="A5" i="2"/>
  <c r="V4" i="2"/>
  <c r="A4" i="2"/>
  <c r="B49" i="1"/>
  <c r="B47" i="1"/>
  <c r="B27" i="1"/>
  <c r="B23" i="1"/>
  <c r="B22" i="1"/>
  <c r="B18" i="1"/>
  <c r="B13" i="1"/>
  <c r="B9" i="1"/>
  <c r="B5" i="1"/>
  <c r="B4" i="1"/>
  <c r="K7" i="7" l="1"/>
  <c r="F29" i="3"/>
  <c r="L29" i="3" s="1"/>
  <c r="F28" i="3"/>
  <c r="L28" i="3" s="1"/>
  <c r="F24" i="3"/>
  <c r="L24" i="3" s="1"/>
  <c r="F22" i="3"/>
  <c r="L22" i="3" s="1"/>
  <c r="F32" i="3"/>
  <c r="L32" i="3" s="1"/>
  <c r="F26" i="3"/>
  <c r="L26" i="3" s="1"/>
  <c r="J40" i="3"/>
  <c r="I40" i="3"/>
  <c r="H40" i="3"/>
  <c r="E40" i="3"/>
  <c r="F36" i="3"/>
  <c r="L36" i="3" s="1"/>
  <c r="F34" i="3"/>
  <c r="F6" i="3"/>
  <c r="L6" i="3" s="1"/>
  <c r="F23" i="3"/>
  <c r="L23" i="3" s="1"/>
  <c r="F21" i="3"/>
  <c r="L21" i="3" s="1"/>
  <c r="F11" i="3"/>
  <c r="L11" i="3" s="1"/>
  <c r="F9" i="3"/>
  <c r="F30" i="3"/>
  <c r="L30" i="3" s="1"/>
  <c r="F5" i="3"/>
  <c r="L5" i="3" s="1"/>
  <c r="F8" i="3"/>
  <c r="F19" i="3"/>
  <c r="L19" i="3" s="1"/>
  <c r="F7" i="3"/>
  <c r="F37" i="3"/>
  <c r="L37" i="3" s="1"/>
  <c r="F31" i="3"/>
  <c r="L31" i="3" s="1"/>
  <c r="F18" i="3"/>
  <c r="L18" i="3" s="1"/>
  <c r="F20" i="3"/>
  <c r="L20" i="3" s="1"/>
  <c r="F16" i="3"/>
  <c r="L16" i="3" s="1"/>
  <c r="F35" i="3"/>
  <c r="L35" i="3" s="1"/>
  <c r="L34" i="3"/>
  <c r="F27" i="3"/>
  <c r="L27" i="3" s="1"/>
  <c r="F14" i="3"/>
  <c r="L14" i="3" s="1"/>
  <c r="F12" i="3"/>
  <c r="L12" i="3" s="1"/>
  <c r="L7" i="3"/>
  <c r="F38" i="3"/>
  <c r="L38" i="3" s="1"/>
  <c r="F25" i="3"/>
  <c r="L25" i="3" s="1"/>
  <c r="F13" i="3"/>
  <c r="L13" i="3" s="1"/>
  <c r="F17" i="3"/>
  <c r="L17" i="3" s="1"/>
  <c r="F15" i="3"/>
  <c r="L15" i="3" s="1"/>
  <c r="F10" i="3"/>
  <c r="K6" i="7"/>
  <c r="F39" i="7"/>
  <c r="E38" i="7"/>
  <c r="E35" i="7"/>
  <c r="C39" i="3"/>
  <c r="C31" i="3"/>
  <c r="C30" i="3"/>
  <c r="C29" i="3"/>
  <c r="C28" i="3"/>
  <c r="C27" i="3"/>
  <c r="C26" i="3"/>
  <c r="C25" i="3"/>
  <c r="C24" i="3"/>
  <c r="C23" i="3"/>
  <c r="E36" i="7"/>
  <c r="E39" i="7"/>
  <c r="F38" i="7"/>
  <c r="E37" i="7"/>
  <c r="L87" i="6"/>
  <c r="K87" i="6"/>
  <c r="J87" i="6"/>
  <c r="L27" i="6"/>
  <c r="K27" i="6"/>
  <c r="J27" i="6"/>
  <c r="C14" i="3"/>
  <c r="C7" i="3"/>
  <c r="C6" i="3"/>
  <c r="C5" i="3"/>
  <c r="K17" i="3"/>
  <c r="K16" i="3"/>
  <c r="K28" i="3"/>
  <c r="K29" i="3"/>
  <c r="K30" i="3"/>
  <c r="K31" i="3"/>
  <c r="K9" i="3"/>
  <c r="K8" i="3"/>
  <c r="K10" i="3"/>
  <c r="K7" i="3"/>
  <c r="K5" i="3"/>
  <c r="K6" i="3"/>
  <c r="K20" i="3"/>
  <c r="K21" i="3"/>
  <c r="K25" i="3"/>
  <c r="K26" i="3"/>
  <c r="K22" i="3"/>
  <c r="K23" i="3"/>
  <c r="K24" i="3"/>
  <c r="K19" i="3"/>
  <c r="K18" i="3"/>
  <c r="K12" i="3"/>
  <c r="K13" i="3"/>
  <c r="I4" i="7"/>
  <c r="K35" i="3"/>
  <c r="K36" i="3"/>
  <c r="K33" i="3"/>
  <c r="K34" i="3"/>
  <c r="K32" i="3"/>
  <c r="J4" i="7"/>
  <c r="K90" i="6"/>
  <c r="L90" i="6"/>
  <c r="H90" i="6"/>
  <c r="I90" i="6" s="1"/>
  <c r="J90" i="6"/>
  <c r="E90" i="6"/>
  <c r="F90" i="6" s="1"/>
  <c r="C90" i="6"/>
  <c r="K89" i="6"/>
  <c r="C89" i="6"/>
  <c r="J89" i="6"/>
  <c r="E89" i="6"/>
  <c r="F89" i="6" s="1"/>
  <c r="L89" i="6"/>
  <c r="H89" i="6"/>
  <c r="I89" i="6" s="1"/>
  <c r="G91" i="6"/>
  <c r="D91" i="6"/>
  <c r="K88" i="6"/>
  <c r="J88" i="6"/>
  <c r="L88" i="6"/>
  <c r="C88" i="6"/>
  <c r="H88" i="6"/>
  <c r="I88" i="6" s="1"/>
  <c r="E88" i="6"/>
  <c r="F88" i="6" s="1"/>
  <c r="H87" i="6"/>
  <c r="I87" i="6" s="1"/>
  <c r="E87" i="6"/>
  <c r="F87" i="6" s="1"/>
  <c r="C87" i="6"/>
  <c r="M87" i="6" s="1"/>
  <c r="L86" i="6"/>
  <c r="K86" i="6"/>
  <c r="J86" i="6"/>
  <c r="C86" i="6"/>
  <c r="E86" i="6"/>
  <c r="F86" i="6" s="1"/>
  <c r="H86" i="6"/>
  <c r="I86" i="6" s="1"/>
  <c r="C85" i="6"/>
  <c r="E85" i="6"/>
  <c r="F85" i="6" s="1"/>
  <c r="J85" i="6"/>
  <c r="H85" i="6"/>
  <c r="I85" i="6" s="1"/>
  <c r="K85" i="6"/>
  <c r="L85" i="6"/>
  <c r="H84" i="6"/>
  <c r="I84" i="6" s="1"/>
  <c r="E84" i="6"/>
  <c r="F84" i="6" s="1"/>
  <c r="C84" i="6"/>
  <c r="M84" i="6" s="1"/>
  <c r="K84" i="6"/>
  <c r="J84" i="6"/>
  <c r="L84" i="6"/>
  <c r="H83" i="6"/>
  <c r="I83" i="6" s="1"/>
  <c r="E83" i="6"/>
  <c r="F83" i="6" s="1"/>
  <c r="J83" i="6"/>
  <c r="K83" i="6"/>
  <c r="L83" i="6"/>
  <c r="C83" i="6"/>
  <c r="M83" i="6" s="1"/>
  <c r="J82" i="6"/>
  <c r="H82" i="6"/>
  <c r="I82" i="6" s="1"/>
  <c r="E82" i="6"/>
  <c r="F82" i="6" s="1"/>
  <c r="C82" i="6"/>
  <c r="M82" i="6" s="1"/>
  <c r="L82" i="6"/>
  <c r="K82" i="6"/>
  <c r="K81" i="6"/>
  <c r="J81" i="6"/>
  <c r="H81" i="6"/>
  <c r="I81" i="6" s="1"/>
  <c r="E81" i="6"/>
  <c r="F81" i="6" s="1"/>
  <c r="C81" i="6"/>
  <c r="M81" i="6" s="1"/>
  <c r="L81" i="6"/>
  <c r="K80" i="6"/>
  <c r="J80" i="6"/>
  <c r="H80" i="6"/>
  <c r="I80" i="6" s="1"/>
  <c r="E80" i="6"/>
  <c r="F80" i="6" s="1"/>
  <c r="C80" i="6"/>
  <c r="M80" i="6" s="1"/>
  <c r="L80" i="6"/>
  <c r="L79" i="6"/>
  <c r="K79" i="6"/>
  <c r="J79" i="6"/>
  <c r="H79" i="6"/>
  <c r="I79" i="6" s="1"/>
  <c r="E79" i="6"/>
  <c r="F79" i="6" s="1"/>
  <c r="C79" i="6"/>
  <c r="M79" i="6" s="1"/>
  <c r="L78" i="6"/>
  <c r="K78" i="6"/>
  <c r="J78" i="6"/>
  <c r="H78" i="6"/>
  <c r="I78" i="6" s="1"/>
  <c r="E78" i="6"/>
  <c r="F78" i="6" s="1"/>
  <c r="C78" i="6"/>
  <c r="M78" i="6" s="1"/>
  <c r="L77" i="6"/>
  <c r="K77" i="6"/>
  <c r="J77" i="6"/>
  <c r="H77" i="6"/>
  <c r="I77" i="6" s="1"/>
  <c r="E77" i="6"/>
  <c r="F77" i="6" s="1"/>
  <c r="C77" i="6"/>
  <c r="M77" i="6" s="1"/>
  <c r="J76" i="6"/>
  <c r="L76" i="6"/>
  <c r="H76" i="6"/>
  <c r="I76" i="6" s="1"/>
  <c r="K76" i="6"/>
  <c r="E76" i="6"/>
  <c r="F76" i="6" s="1"/>
  <c r="C76" i="6"/>
  <c r="M76" i="6" s="1"/>
  <c r="L75" i="6"/>
  <c r="K75" i="6"/>
  <c r="J75" i="6"/>
  <c r="H75" i="6"/>
  <c r="I75" i="6" s="1"/>
  <c r="E75" i="6"/>
  <c r="F75" i="6" s="1"/>
  <c r="C75" i="6"/>
  <c r="M75" i="6" s="1"/>
  <c r="L74" i="6"/>
  <c r="K74" i="6"/>
  <c r="J74" i="6"/>
  <c r="H74" i="6"/>
  <c r="I74" i="6" s="1"/>
  <c r="E74" i="6"/>
  <c r="F74" i="6" s="1"/>
  <c r="C74" i="6"/>
  <c r="M74" i="6" s="1"/>
  <c r="L73" i="6"/>
  <c r="K73" i="6"/>
  <c r="J73" i="6"/>
  <c r="H73" i="6"/>
  <c r="I73" i="6" s="1"/>
  <c r="E73" i="6"/>
  <c r="F73" i="6" s="1"/>
  <c r="C73" i="6"/>
  <c r="M73" i="6" s="1"/>
  <c r="L72" i="6"/>
  <c r="K72" i="6"/>
  <c r="J72" i="6"/>
  <c r="H72" i="6"/>
  <c r="I72" i="6" s="1"/>
  <c r="E72" i="6"/>
  <c r="F72" i="6" s="1"/>
  <c r="C72" i="6"/>
  <c r="M72" i="6" s="1"/>
  <c r="L71" i="6"/>
  <c r="K71" i="6"/>
  <c r="J71" i="6"/>
  <c r="H71" i="6"/>
  <c r="I71" i="6" s="1"/>
  <c r="E71" i="6"/>
  <c r="F71" i="6" s="1"/>
  <c r="C71" i="6"/>
  <c r="M71" i="6" s="1"/>
  <c r="L70" i="6"/>
  <c r="K70" i="6"/>
  <c r="J70" i="6"/>
  <c r="H70" i="6"/>
  <c r="I70" i="6" s="1"/>
  <c r="E70" i="6"/>
  <c r="F70" i="6" s="1"/>
  <c r="C70" i="6"/>
  <c r="L69" i="6"/>
  <c r="K69" i="6"/>
  <c r="J69" i="6"/>
  <c r="H69" i="6"/>
  <c r="I69" i="6" s="1"/>
  <c r="E69" i="6"/>
  <c r="F69" i="6" s="1"/>
  <c r="C69" i="6"/>
  <c r="M69" i="6" s="1"/>
  <c r="L68" i="6"/>
  <c r="K68" i="6"/>
  <c r="J68" i="6"/>
  <c r="H68" i="6"/>
  <c r="I68" i="6" s="1"/>
  <c r="E68" i="6"/>
  <c r="F68" i="6" s="1"/>
  <c r="C68" i="6"/>
  <c r="L67" i="6"/>
  <c r="K67" i="6"/>
  <c r="J67" i="6"/>
  <c r="H67" i="6"/>
  <c r="I67" i="6" s="1"/>
  <c r="E67" i="6"/>
  <c r="F67" i="6" s="1"/>
  <c r="C67" i="6"/>
  <c r="M67" i="6" s="1"/>
  <c r="K66" i="6"/>
  <c r="L66" i="6"/>
  <c r="E66" i="6"/>
  <c r="F66" i="6" s="1"/>
  <c r="C66" i="6"/>
  <c r="H66" i="6"/>
  <c r="I66" i="6" s="1"/>
  <c r="J66" i="6"/>
  <c r="J65" i="6"/>
  <c r="C65" i="6"/>
  <c r="L65" i="6"/>
  <c r="K65" i="6"/>
  <c r="H65" i="6"/>
  <c r="I65" i="6" s="1"/>
  <c r="E65" i="6"/>
  <c r="F65" i="6" s="1"/>
  <c r="C64" i="6"/>
  <c r="J64" i="6"/>
  <c r="L64" i="6"/>
  <c r="K64" i="6"/>
  <c r="H64" i="6"/>
  <c r="I64" i="6" s="1"/>
  <c r="E64" i="6"/>
  <c r="F64" i="6" s="1"/>
  <c r="L63" i="6"/>
  <c r="C63" i="6"/>
  <c r="E63" i="6"/>
  <c r="F63" i="6" s="1"/>
  <c r="J63" i="6"/>
  <c r="K63" i="6"/>
  <c r="H63" i="6"/>
  <c r="I63" i="6" s="1"/>
  <c r="H62" i="6"/>
  <c r="I62" i="6" s="1"/>
  <c r="J62" i="6"/>
  <c r="K62" i="6"/>
  <c r="L62" i="6"/>
  <c r="C62" i="6"/>
  <c r="E62" i="6"/>
  <c r="F62" i="6" s="1"/>
  <c r="E61" i="6"/>
  <c r="F61" i="6" s="1"/>
  <c r="H61" i="6"/>
  <c r="I61" i="6" s="1"/>
  <c r="J61" i="6"/>
  <c r="K61" i="6"/>
  <c r="L61" i="6"/>
  <c r="C61" i="6"/>
  <c r="M61" i="6" s="1"/>
  <c r="L60" i="6"/>
  <c r="K60" i="6"/>
  <c r="J60" i="6"/>
  <c r="C60" i="6"/>
  <c r="E60" i="6"/>
  <c r="F60" i="6" s="1"/>
  <c r="H60" i="6"/>
  <c r="I60" i="6" s="1"/>
  <c r="J59" i="6"/>
  <c r="C59" i="6"/>
  <c r="E59" i="6"/>
  <c r="F59" i="6" s="1"/>
  <c r="H59" i="6"/>
  <c r="I59" i="6" s="1"/>
  <c r="K59" i="6"/>
  <c r="L59" i="6"/>
  <c r="L58" i="6"/>
  <c r="C58" i="6"/>
  <c r="E58" i="6"/>
  <c r="F58" i="6" s="1"/>
  <c r="H58" i="6"/>
  <c r="I58" i="6" s="1"/>
  <c r="J58" i="6"/>
  <c r="K58" i="6"/>
  <c r="K57" i="6"/>
  <c r="H57" i="6"/>
  <c r="I57" i="6" s="1"/>
  <c r="L57" i="6"/>
  <c r="E57" i="6"/>
  <c r="F57" i="6" s="1"/>
  <c r="C57" i="6"/>
  <c r="M57" i="6" s="1"/>
  <c r="J57" i="6"/>
  <c r="E56" i="6"/>
  <c r="F56" i="6" s="1"/>
  <c r="C56" i="6"/>
  <c r="L56" i="6"/>
  <c r="H56" i="6"/>
  <c r="I56" i="6" s="1"/>
  <c r="J56" i="6"/>
  <c r="K56" i="6"/>
  <c r="H55" i="6"/>
  <c r="I55" i="6" s="1"/>
  <c r="L55" i="6"/>
  <c r="C55" i="6"/>
  <c r="E55" i="6"/>
  <c r="F55" i="6" s="1"/>
  <c r="J55" i="6"/>
  <c r="K55" i="6"/>
  <c r="J54" i="6"/>
  <c r="H54" i="6"/>
  <c r="I54" i="6" s="1"/>
  <c r="L54" i="6"/>
  <c r="K54" i="6"/>
  <c r="C54" i="6"/>
  <c r="E54" i="6"/>
  <c r="F54" i="6" s="1"/>
  <c r="E53" i="6"/>
  <c r="F53" i="6" s="1"/>
  <c r="H53" i="6"/>
  <c r="I53" i="6" s="1"/>
  <c r="J53" i="6"/>
  <c r="K53" i="6"/>
  <c r="L53" i="6"/>
  <c r="C53" i="6"/>
  <c r="M53" i="6" s="1"/>
  <c r="H52" i="6"/>
  <c r="I52" i="6" s="1"/>
  <c r="C52" i="6"/>
  <c r="E52" i="6"/>
  <c r="F52" i="6" s="1"/>
  <c r="K52" i="6"/>
  <c r="J52" i="6"/>
  <c r="L52" i="6"/>
  <c r="K51" i="6"/>
  <c r="J51" i="6"/>
  <c r="H51" i="6"/>
  <c r="I51" i="6" s="1"/>
  <c r="C51" i="6"/>
  <c r="E51" i="6"/>
  <c r="F51" i="6" s="1"/>
  <c r="L51" i="6"/>
  <c r="L50" i="6"/>
  <c r="K50" i="6"/>
  <c r="J50" i="6"/>
  <c r="H50" i="6"/>
  <c r="I50" i="6" s="1"/>
  <c r="E50" i="6"/>
  <c r="F50" i="6" s="1"/>
  <c r="B15" i="1" s="1"/>
  <c r="C50" i="6"/>
  <c r="H49" i="6"/>
  <c r="I49" i="6" s="1"/>
  <c r="E49" i="6"/>
  <c r="F49" i="6" s="1"/>
  <c r="C49" i="6"/>
  <c r="M49" i="6" s="1"/>
  <c r="L49" i="6"/>
  <c r="K49" i="6"/>
  <c r="J49" i="6"/>
  <c r="K48" i="6"/>
  <c r="J48" i="6"/>
  <c r="H48" i="6"/>
  <c r="I48" i="6" s="1"/>
  <c r="E48" i="6"/>
  <c r="F48" i="6" s="1"/>
  <c r="C48" i="6"/>
  <c r="M48" i="6" s="1"/>
  <c r="L48" i="6"/>
  <c r="J47" i="6"/>
  <c r="H47" i="6"/>
  <c r="I47" i="6" s="1"/>
  <c r="E47" i="6"/>
  <c r="F47" i="6" s="1"/>
  <c r="C47" i="6"/>
  <c r="L47" i="6"/>
  <c r="K47" i="6"/>
  <c r="H46" i="6"/>
  <c r="I46" i="6" s="1"/>
  <c r="L46" i="6"/>
  <c r="K46" i="6"/>
  <c r="J46" i="6"/>
  <c r="C46" i="6"/>
  <c r="E46" i="6"/>
  <c r="F46" i="6" s="1"/>
  <c r="J45" i="6"/>
  <c r="K45" i="6"/>
  <c r="L45" i="6"/>
  <c r="H45" i="6"/>
  <c r="I45" i="6" s="1"/>
  <c r="E45" i="6"/>
  <c r="F45" i="6" s="1"/>
  <c r="C45" i="6"/>
  <c r="L44" i="6"/>
  <c r="K44" i="6"/>
  <c r="J44" i="6"/>
  <c r="H44" i="6"/>
  <c r="I44" i="6" s="1"/>
  <c r="E44" i="6"/>
  <c r="F44" i="6" s="1"/>
  <c r="C44" i="6"/>
  <c r="M44" i="6" s="1"/>
  <c r="L43" i="6"/>
  <c r="E43" i="6"/>
  <c r="F43" i="6" s="1"/>
  <c r="H43" i="6"/>
  <c r="I43" i="6" s="1"/>
  <c r="J43" i="6"/>
  <c r="C43" i="6"/>
  <c r="M43" i="6" s="1"/>
  <c r="K43" i="6"/>
  <c r="L42" i="6"/>
  <c r="K42" i="6"/>
  <c r="J42" i="6"/>
  <c r="H42" i="6"/>
  <c r="I42" i="6" s="1"/>
  <c r="E42" i="6"/>
  <c r="F42" i="6" s="1"/>
  <c r="C42" i="6"/>
  <c r="M42" i="6" s="1"/>
  <c r="L41" i="6"/>
  <c r="K41" i="6"/>
  <c r="J41" i="6"/>
  <c r="H41" i="6"/>
  <c r="I41" i="6" s="1"/>
  <c r="E41" i="6"/>
  <c r="F41" i="6" s="1"/>
  <c r="C41" i="6"/>
  <c r="M41" i="6" s="1"/>
  <c r="L40" i="6"/>
  <c r="K40" i="6"/>
  <c r="J40" i="6"/>
  <c r="H40" i="6"/>
  <c r="I40" i="6" s="1"/>
  <c r="E40" i="6"/>
  <c r="F40" i="6" s="1"/>
  <c r="C40" i="6"/>
  <c r="M40" i="6" s="1"/>
  <c r="L39" i="6"/>
  <c r="K39" i="6"/>
  <c r="J39" i="6"/>
  <c r="H39" i="6"/>
  <c r="I39" i="6" s="1"/>
  <c r="E39" i="6"/>
  <c r="F39" i="6" s="1"/>
  <c r="C39" i="6"/>
  <c r="L38" i="6"/>
  <c r="K38" i="6"/>
  <c r="J38" i="6"/>
  <c r="H38" i="6"/>
  <c r="I38" i="6" s="1"/>
  <c r="E38" i="6"/>
  <c r="F38" i="6" s="1"/>
  <c r="C38" i="6"/>
  <c r="L37" i="6"/>
  <c r="K37" i="6"/>
  <c r="J37" i="6"/>
  <c r="H37" i="6"/>
  <c r="I37" i="6" s="1"/>
  <c r="E37" i="6"/>
  <c r="F37" i="6" s="1"/>
  <c r="C37" i="6"/>
  <c r="M37" i="6" s="1"/>
  <c r="L36" i="6"/>
  <c r="K36" i="6"/>
  <c r="J36" i="6"/>
  <c r="H36" i="6"/>
  <c r="I36" i="6" s="1"/>
  <c r="E36" i="6"/>
  <c r="F36" i="6" s="1"/>
  <c r="C36" i="6"/>
  <c r="M36" i="6" s="1"/>
  <c r="C35" i="6"/>
  <c r="L35" i="6"/>
  <c r="K35" i="6"/>
  <c r="J35" i="6"/>
  <c r="H35" i="6"/>
  <c r="I35" i="6" s="1"/>
  <c r="E35" i="6"/>
  <c r="F35" i="6" s="1"/>
  <c r="J34" i="6"/>
  <c r="E34" i="6"/>
  <c r="F34" i="6" s="1"/>
  <c r="C34" i="6"/>
  <c r="L34" i="6"/>
  <c r="K34" i="6"/>
  <c r="H34" i="6"/>
  <c r="I34" i="6" s="1"/>
  <c r="L33" i="6"/>
  <c r="E33" i="6"/>
  <c r="F33" i="6" s="1"/>
  <c r="C33" i="6"/>
  <c r="H33" i="6"/>
  <c r="I33" i="6" s="1"/>
  <c r="J33" i="6"/>
  <c r="K33" i="6"/>
  <c r="E32" i="6"/>
  <c r="F32" i="6" s="1"/>
  <c r="J32" i="6"/>
  <c r="K32" i="6"/>
  <c r="C32" i="6"/>
  <c r="L32" i="6"/>
  <c r="H32" i="6"/>
  <c r="I32" i="6" s="1"/>
  <c r="L31" i="6"/>
  <c r="C31" i="6"/>
  <c r="E31" i="6"/>
  <c r="F31" i="6" s="1"/>
  <c r="H31" i="6"/>
  <c r="I31" i="6" s="1"/>
  <c r="K31" i="6"/>
  <c r="J31" i="6"/>
  <c r="C30" i="6"/>
  <c r="E30" i="6"/>
  <c r="F30" i="6" s="1"/>
  <c r="L30" i="6"/>
  <c r="K30" i="6"/>
  <c r="H30" i="6"/>
  <c r="I30" i="6" s="1"/>
  <c r="J30" i="6"/>
  <c r="K29" i="6"/>
  <c r="L29" i="6"/>
  <c r="J29" i="6"/>
  <c r="C29" i="6"/>
  <c r="E29" i="6"/>
  <c r="F29" i="6" s="1"/>
  <c r="H29" i="6"/>
  <c r="I29" i="6" s="1"/>
  <c r="J28" i="6"/>
  <c r="H28" i="6"/>
  <c r="I28" i="6" s="1"/>
  <c r="L28" i="6"/>
  <c r="K28" i="6"/>
  <c r="C28" i="6"/>
  <c r="E28" i="6"/>
  <c r="F28" i="6" s="1"/>
  <c r="B14" i="1"/>
  <c r="H27" i="6"/>
  <c r="I27" i="6" s="1"/>
  <c r="C27" i="6"/>
  <c r="E27" i="6"/>
  <c r="F27" i="6" s="1"/>
  <c r="B16" i="1" s="1"/>
  <c r="C26" i="6"/>
  <c r="E26" i="6"/>
  <c r="F26" i="6" s="1"/>
  <c r="H26" i="6"/>
  <c r="I26" i="6" s="1"/>
  <c r="J26" i="6"/>
  <c r="K26" i="6"/>
  <c r="L26" i="6"/>
  <c r="L25" i="6"/>
  <c r="K25" i="6"/>
  <c r="J25" i="6"/>
  <c r="E25" i="6"/>
  <c r="F25" i="6" s="1"/>
  <c r="C25" i="6"/>
  <c r="M25" i="6" s="1"/>
  <c r="H25" i="6"/>
  <c r="I25" i="6" s="1"/>
  <c r="L24" i="6"/>
  <c r="K24" i="6"/>
  <c r="E24" i="6"/>
  <c r="F24" i="6" s="1"/>
  <c r="C24" i="6"/>
  <c r="J24" i="6"/>
  <c r="H24" i="6"/>
  <c r="I24" i="6" s="1"/>
  <c r="J23" i="6"/>
  <c r="C23" i="6"/>
  <c r="L23" i="6"/>
  <c r="K23" i="6"/>
  <c r="H23" i="6"/>
  <c r="I23" i="6" s="1"/>
  <c r="E23" i="6"/>
  <c r="F23" i="6" s="1"/>
  <c r="E22" i="6"/>
  <c r="F22" i="6" s="1"/>
  <c r="C22" i="6"/>
  <c r="L22" i="6"/>
  <c r="K22" i="6"/>
  <c r="J22" i="6"/>
  <c r="H22" i="6"/>
  <c r="I22" i="6" s="1"/>
  <c r="L21" i="6"/>
  <c r="K21" i="6"/>
  <c r="C21" i="6"/>
  <c r="E21" i="6"/>
  <c r="F21" i="6" s="1"/>
  <c r="J21" i="6"/>
  <c r="H21" i="6"/>
  <c r="I21" i="6" s="1"/>
  <c r="J20" i="6"/>
  <c r="H20" i="6"/>
  <c r="I20" i="6" s="1"/>
  <c r="E20" i="6"/>
  <c r="F20" i="6" s="1"/>
  <c r="C20" i="6"/>
  <c r="M20" i="6" s="1"/>
  <c r="L20" i="6"/>
  <c r="K20" i="6"/>
  <c r="E19" i="6"/>
  <c r="F19" i="6" s="1"/>
  <c r="H19" i="6"/>
  <c r="I19" i="6" s="1"/>
  <c r="J19" i="6"/>
  <c r="K19" i="6"/>
  <c r="L19" i="6"/>
  <c r="C19" i="6"/>
  <c r="M19" i="6" s="1"/>
  <c r="C18" i="6"/>
  <c r="L18" i="6"/>
  <c r="K18" i="6"/>
  <c r="J18" i="6"/>
  <c r="H18" i="6"/>
  <c r="I18" i="6" s="1"/>
  <c r="E18" i="6"/>
  <c r="F18" i="6" s="1"/>
  <c r="H17" i="6"/>
  <c r="I17" i="6" s="1"/>
  <c r="E17" i="6"/>
  <c r="F17" i="6" s="1"/>
  <c r="C17" i="6"/>
  <c r="M17" i="6" s="1"/>
  <c r="L17" i="6"/>
  <c r="J17" i="6"/>
  <c r="K17" i="6"/>
  <c r="K16" i="6"/>
  <c r="L16" i="6"/>
  <c r="J16" i="6"/>
  <c r="H16" i="6"/>
  <c r="I16" i="6" s="1"/>
  <c r="E16" i="6"/>
  <c r="F16" i="6" s="1"/>
  <c r="C16" i="6"/>
  <c r="C15" i="6"/>
  <c r="E15" i="6"/>
  <c r="F15" i="6" s="1"/>
  <c r="H15" i="6"/>
  <c r="I15" i="6" s="1"/>
  <c r="K14" i="6"/>
  <c r="L14" i="6"/>
  <c r="H14" i="6"/>
  <c r="I14" i="6" s="1"/>
  <c r="C14" i="6"/>
  <c r="E14" i="6"/>
  <c r="F14" i="6" s="1"/>
  <c r="J14" i="6"/>
  <c r="K13" i="6"/>
  <c r="C13" i="6"/>
  <c r="E13" i="6"/>
  <c r="F13" i="6" s="1"/>
  <c r="H13" i="6"/>
  <c r="I13" i="6" s="1"/>
  <c r="J13" i="6"/>
  <c r="L13" i="6"/>
  <c r="C12" i="6"/>
  <c r="E12" i="6"/>
  <c r="F12" i="6" s="1"/>
  <c r="H12" i="6"/>
  <c r="I12" i="6" s="1"/>
  <c r="J12" i="6"/>
  <c r="K12" i="6"/>
  <c r="L12" i="6"/>
  <c r="L11" i="6"/>
  <c r="J11" i="6"/>
  <c r="H11" i="6"/>
  <c r="I11" i="6" s="1"/>
  <c r="E11" i="6"/>
  <c r="F11" i="6" s="1"/>
  <c r="K11" i="6"/>
  <c r="C11" i="6"/>
  <c r="M11" i="6" s="1"/>
  <c r="J10" i="6"/>
  <c r="H10" i="6"/>
  <c r="I10" i="6" s="1"/>
  <c r="L10" i="6"/>
  <c r="E10" i="6"/>
  <c r="F10" i="6" s="1"/>
  <c r="C10" i="6"/>
  <c r="M10" i="6" s="1"/>
  <c r="K10" i="6"/>
  <c r="H9" i="6"/>
  <c r="I9" i="6" s="1"/>
  <c r="L9" i="6"/>
  <c r="K9" i="6"/>
  <c r="J9" i="6"/>
  <c r="E9" i="6"/>
  <c r="F9" i="6" s="1"/>
  <c r="C9" i="6"/>
  <c r="M9" i="6" s="1"/>
  <c r="C8" i="6"/>
  <c r="K8" i="6"/>
  <c r="L8" i="6"/>
  <c r="J8" i="6"/>
  <c r="H8" i="6"/>
  <c r="I8" i="6" s="1"/>
  <c r="E8" i="6"/>
  <c r="F8" i="6" s="1"/>
  <c r="L7" i="6"/>
  <c r="E7" i="6"/>
  <c r="F7" i="6" s="1"/>
  <c r="C7" i="6"/>
  <c r="K7" i="6"/>
  <c r="J7" i="6"/>
  <c r="H7" i="6"/>
  <c r="I7" i="6" s="1"/>
  <c r="K6" i="6"/>
  <c r="H6" i="6"/>
  <c r="I6" i="6" s="1"/>
  <c r="E6" i="6"/>
  <c r="F6" i="6" s="1"/>
  <c r="C6" i="6"/>
  <c r="M6" i="6" s="1"/>
  <c r="J6" i="6"/>
  <c r="L6" i="6"/>
  <c r="C5" i="6"/>
  <c r="L5" i="6"/>
  <c r="K5" i="6"/>
  <c r="H5" i="6"/>
  <c r="J5" i="6"/>
  <c r="C34" i="3"/>
  <c r="C32" i="3"/>
  <c r="B53" i="1"/>
  <c r="C33" i="3"/>
  <c r="C4" i="3"/>
  <c r="C8" i="3"/>
  <c r="C9" i="3"/>
  <c r="C16" i="3"/>
  <c r="C35" i="3"/>
  <c r="C10" i="3"/>
  <c r="C36" i="3"/>
  <c r="C13" i="3"/>
  <c r="C11" i="3"/>
  <c r="C12" i="3"/>
  <c r="C15" i="3"/>
  <c r="C17" i="3"/>
  <c r="C18" i="3"/>
  <c r="O5" i="4"/>
  <c r="N127" i="4"/>
  <c r="C19" i="3"/>
  <c r="J15" i="6"/>
  <c r="K15" i="6"/>
  <c r="C22" i="3"/>
  <c r="L15" i="6"/>
  <c r="C20" i="3"/>
  <c r="E5" i="6"/>
  <c r="C21" i="3"/>
  <c r="G40" i="3"/>
  <c r="F4" i="3"/>
  <c r="D40" i="3"/>
  <c r="B61" i="1"/>
  <c r="B43" i="1"/>
  <c r="B31" i="1"/>
  <c r="B52" i="1"/>
  <c r="B33" i="1"/>
  <c r="B6" i="1"/>
  <c r="B63" i="1"/>
  <c r="L39" i="3"/>
  <c r="L33" i="3"/>
  <c r="M68" i="6" l="1"/>
  <c r="M90" i="6"/>
  <c r="M50" i="6"/>
  <c r="M47" i="6"/>
  <c r="I9" i="7"/>
  <c r="I11" i="7" s="1"/>
  <c r="J9" i="7"/>
  <c r="J11" i="7" s="1"/>
  <c r="B38" i="1" s="1"/>
  <c r="M39" i="6"/>
  <c r="M70" i="6"/>
  <c r="M28" i="6"/>
  <c r="M16" i="6"/>
  <c r="M45" i="6"/>
  <c r="M38" i="6"/>
  <c r="M22" i="6"/>
  <c r="K4" i="7"/>
  <c r="I5" i="6"/>
  <c r="I91" i="6" s="1"/>
  <c r="B7" i="1" s="1"/>
  <c r="B8" i="1" s="1"/>
  <c r="B10" i="1" s="1"/>
  <c r="H91" i="6"/>
  <c r="F5" i="6"/>
  <c r="E91" i="6"/>
  <c r="B30" i="1"/>
  <c r="B32" i="1" s="1"/>
  <c r="B34" i="1" s="1"/>
  <c r="B60" i="1"/>
  <c r="B62" i="1" s="1"/>
  <c r="B64" i="1" s="1"/>
  <c r="M66" i="6"/>
  <c r="M65" i="6"/>
  <c r="M64" i="6"/>
  <c r="M63" i="6"/>
  <c r="M62" i="6"/>
  <c r="M60" i="6"/>
  <c r="M59" i="6"/>
  <c r="M58" i="6"/>
  <c r="M56" i="6"/>
  <c r="M55" i="6"/>
  <c r="M54" i="6"/>
  <c r="M52" i="6"/>
  <c r="M51" i="6"/>
  <c r="M46" i="6"/>
  <c r="M33" i="6"/>
  <c r="M32" i="6"/>
  <c r="M31" i="6"/>
  <c r="M29" i="6"/>
  <c r="B17" i="1"/>
  <c r="B19" i="1" s="1"/>
  <c r="M23" i="6"/>
  <c r="M21" i="6"/>
  <c r="M18" i="6"/>
  <c r="M15" i="6"/>
  <c r="M14" i="6"/>
  <c r="M13" i="6"/>
  <c r="M12" i="6"/>
  <c r="M8" i="6"/>
  <c r="M7" i="6"/>
  <c r="L91" i="6"/>
  <c r="K91" i="6"/>
  <c r="J91" i="6"/>
  <c r="M88" i="6"/>
  <c r="M86" i="6"/>
  <c r="D44" i="3"/>
  <c r="D45" i="3" s="1"/>
  <c r="M89" i="6"/>
  <c r="M85" i="6"/>
  <c r="M35" i="6"/>
  <c r="M34" i="6"/>
  <c r="M30" i="6"/>
  <c r="M27" i="6"/>
  <c r="M26" i="6"/>
  <c r="M24" i="6"/>
  <c r="F40" i="3"/>
  <c r="L4" i="3"/>
  <c r="K9" i="7" l="1"/>
  <c r="K11" i="7" s="1"/>
  <c r="K14" i="7"/>
  <c r="K15" i="7" s="1"/>
  <c r="B40" i="1" s="1"/>
  <c r="B37" i="1"/>
  <c r="B39" i="1" s="1"/>
  <c r="M5" i="6"/>
  <c r="F91" i="6"/>
  <c r="B45" i="1"/>
  <c r="B66" i="1" s="1"/>
  <c r="B44" i="1"/>
  <c r="C96" i="6" l="1"/>
  <c r="C94" i="6"/>
  <c r="B25" i="1" s="1"/>
  <c r="C95" i="6"/>
  <c r="B26" i="1" s="1"/>
  <c r="C93" i="6"/>
  <c r="B24" i="1" s="1"/>
  <c r="B46" i="1"/>
  <c r="B48" i="1" s="1"/>
  <c r="B54" i="1"/>
  <c r="B55" i="1" s="1"/>
  <c r="B57" i="1" s="1"/>
  <c r="B65" i="1"/>
  <c r="B6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56" authorId="0" shapeId="0" xr:uid="{00000000-0006-0000-0000-000001000000}">
      <text>
        <r>
          <rPr>
            <sz val="10"/>
            <rFont val="Arial"/>
            <family val="2"/>
          </rPr>
          <t>Valor impresso no rodapé do relatório CP_09.2026 (3.459.299,98 − 97.615,43 − 3.818,44).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T62" authorId="0" shapeId="0" xr:uid="{00000000-0006-0000-0100-000001000000}">
      <text>
        <r>
          <rPr>
            <sz val="10"/>
            <rFont val="Arial"/>
            <family val="2"/>
          </rPr>
          <t>Valor impresso no rodapé do PDF Impostos - Conciliação (R$ 28.357,02).</t>
        </r>
      </text>
    </comment>
  </commentList>
</comments>
</file>

<file path=xl/sharedStrings.xml><?xml version="1.0" encoding="utf-8"?>
<sst xmlns="http://schemas.openxmlformats.org/spreadsheetml/2006/main" count="2018" uniqueCount="548">
  <si>
    <t>Aferição – Conciliação Setembro 2026 – Torre SCIC</t>
  </si>
  <si>
    <t>1. Ponte do líquido (CP → Conciliação)</t>
  </si>
  <si>
    <t>Valor (R$)</t>
  </si>
  <si>
    <t>Relatório CP: soma da coluna Líquido</t>
  </si>
  <si>
    <t>(−) Guias de tributos (36 linhas)</t>
  </si>
  <si>
    <t>(=) Notas de fornecedores no CP</t>
  </si>
  <si>
    <t>(+/−) Diferenças de digitação no líquido (Cruzamento)</t>
  </si>
  <si>
    <t>(=) Líquido esperado na conciliação</t>
  </si>
  <si>
    <t>Conciliação: total líquido</t>
  </si>
  <si>
    <t>Diferença não explicada</t>
  </si>
  <si>
    <t>2. Ponte do bruto (CP → Conciliação)</t>
  </si>
  <si>
    <t>CP: soma do campo Valor das notas de fornecedores</t>
  </si>
  <si>
    <t>(+) Concrelongo 10498: ISS 227,06 somado ao bruto</t>
  </si>
  <si>
    <t>(−) RS Vigilância 273: desconto de 7,50</t>
  </si>
  <si>
    <t>(+) Acréscimos lançados como bruto (F4, São Luiz, S.A. Silva)</t>
  </si>
  <si>
    <t>(=) Bruto esperado na conciliação</t>
  </si>
  <si>
    <t>Conciliação: total bruto</t>
  </si>
  <si>
    <t>3. Conferência das notas</t>
  </si>
  <si>
    <t>Qtde</t>
  </si>
  <si>
    <t>Notas na conciliação</t>
  </si>
  <si>
    <t>Notas de fornecedores no CP</t>
  </si>
  <si>
    <t>Notas que batem (OK)</t>
  </si>
  <si>
    <t>Notas com divergência de valor</t>
  </si>
  <si>
    <t>Notas não encontradas no CP</t>
  </si>
  <si>
    <t>Números de NF corrigidos (digitação)</t>
  </si>
  <si>
    <t>Notas de fornecedores (líquido, valores do CP)</t>
  </si>
  <si>
    <t>(+) Guias de tributos pagas em setembro</t>
  </si>
  <si>
    <t>(=) Total conciliado ajustado</t>
  </si>
  <si>
    <t>Relatório CP</t>
  </si>
  <si>
    <t>Diferença</t>
  </si>
  <si>
    <t>5. Composição das guias de tributos</t>
  </si>
  <si>
    <t>Guias de NFs desta conciliação</t>
  </si>
  <si>
    <t>Guias de NFs de lote anterior</t>
  </si>
  <si>
    <t>Total de guias</t>
  </si>
  <si>
    <t>Retenções de setembro ainda sem guia (vencem depois)</t>
  </si>
  <si>
    <t>6. Tributos: CP × relatório base (Planilha 1)</t>
  </si>
  <si>
    <t>Guias de tributos no CP</t>
  </si>
  <si>
    <t>(−) NF 179 Rocontec Corporativo (IR, ISS, Contrib. Social): só no CP</t>
  </si>
  <si>
    <t>(+/−) Diferença de rateio (ISS NF 273)</t>
  </si>
  <si>
    <t>(=) Tributos esperados na base</t>
  </si>
  <si>
    <t>Relatório base (Planilha 1): total</t>
  </si>
  <si>
    <t xml:space="preserve">   dos quais em aberto na base (ISS NF 95948 – saldo a pagar)</t>
  </si>
  <si>
    <t>7. Rodapé do CP decifrado</t>
  </si>
  <si>
    <t>(−) Rocontec Corporativo NF 194 (taxa)</t>
  </si>
  <si>
    <t>(−) Tributos da NF 179 Rocontec Corporativo</t>
  </si>
  <si>
    <t>(=) Resultado calculado</t>
  </si>
  <si>
    <t>Rodapé do CP (valor impresso)</t>
  </si>
  <si>
    <t>Diferença (rodapé usou 3.818,44 em vez de 3.818,45)</t>
  </si>
  <si>
    <t>8. Conciliação pelo relatório base (alternativa à seção 4)</t>
  </si>
  <si>
    <t>(+) Tributos incorridos (relatório base)</t>
  </si>
  <si>
    <t>(=) Total conciliado pela base</t>
  </si>
  <si>
    <t>Diferença (CP − base)</t>
  </si>
  <si>
    <t xml:space="preserve">   explicada por: tributos NF 179 (só no CP)</t>
  </si>
  <si>
    <t xml:space="preserve">   explicada por: diferença de rateio NF 273</t>
  </si>
  <si>
    <t>Planilha 1 – Impostos (relatório base que incorreu) – 57 linhas rateadas por insumo</t>
  </si>
  <si>
    <t>Chave</t>
  </si>
  <si>
    <t>Nível</t>
  </si>
  <si>
    <t>Nível estruturado</t>
  </si>
  <si>
    <t>Serviço</t>
  </si>
  <si>
    <t>Insumo</t>
  </si>
  <si>
    <t>Insumo desc.</t>
  </si>
  <si>
    <t>Nº Docto (NF)</t>
  </si>
  <si>
    <t>Nº AP</t>
  </si>
  <si>
    <t>Pedido/Contrato</t>
  </si>
  <si>
    <t>Nº QC</t>
  </si>
  <si>
    <t>Emissão</t>
  </si>
  <si>
    <t>Vencimento</t>
  </si>
  <si>
    <t>Pagamento</t>
  </si>
  <si>
    <t>Origem</t>
  </si>
  <si>
    <t>Tipo</t>
  </si>
  <si>
    <t>Cód. agente</t>
  </si>
  <si>
    <t>Agente</t>
  </si>
  <si>
    <t>Pago (R$)</t>
  </si>
  <si>
    <t>Saldo a pagar (R$)</t>
  </si>
  <si>
    <t>Total (R$)</t>
  </si>
  <si>
    <t>Destaque amarelo</t>
  </si>
  <si>
    <t>Confere (Pago+Saldo=Total)</t>
  </si>
  <si>
    <t>12.02</t>
  </si>
  <si>
    <t>12.02.08</t>
  </si>
  <si>
    <t>622892804</t>
  </si>
  <si>
    <t>12.00000.12.02.00.68</t>
  </si>
  <si>
    <t>Mão de obra direta. Instalações</t>
  </si>
  <si>
    <t>5238</t>
  </si>
  <si>
    <t>587</t>
  </si>
  <si>
    <t>6400</t>
  </si>
  <si>
    <t>0040</t>
  </si>
  <si>
    <t>Empreiteiros</t>
  </si>
  <si>
    <t>ISS</t>
  </si>
  <si>
    <t>534</t>
  </si>
  <si>
    <t>PREFEITURA DO</t>
  </si>
  <si>
    <t>Sim</t>
  </si>
  <si>
    <t>18.07</t>
  </si>
  <si>
    <t>18.07.04</t>
  </si>
  <si>
    <t>622892902</t>
  </si>
  <si>
    <t>11.00000.11.04.00.18</t>
  </si>
  <si>
    <t>PCMSO e PPRA - Fornecedor</t>
  </si>
  <si>
    <t>1140</t>
  </si>
  <si>
    <t>651</t>
  </si>
  <si>
    <t>6458</t>
  </si>
  <si>
    <t>0021</t>
  </si>
  <si>
    <t>Não</t>
  </si>
  <si>
    <t>11.04</t>
  </si>
  <si>
    <t>11.04.01</t>
  </si>
  <si>
    <t>622892791</t>
  </si>
  <si>
    <t>16.00000.16.07.00.26</t>
  </si>
  <si>
    <t>Consultoria da Gestão da</t>
  </si>
  <si>
    <t>170</t>
  </si>
  <si>
    <t>622</t>
  </si>
  <si>
    <t>410</t>
  </si>
  <si>
    <t>0066.APC-01.APC-01</t>
  </si>
  <si>
    <t>Materiais</t>
  </si>
  <si>
    <t>IR</t>
  </si>
  <si>
    <t>529</t>
  </si>
  <si>
    <t>MINISTÉRIO DA FAZENDA</t>
  </si>
  <si>
    <t>12.02.05</t>
  </si>
  <si>
    <t>622892801</t>
  </si>
  <si>
    <t>23.00000.23.09.00.75</t>
  </si>
  <si>
    <t>Concreto usinado fck 40MPa</t>
  </si>
  <si>
    <t>10498</t>
  </si>
  <si>
    <t>713</t>
  </si>
  <si>
    <t>434</t>
  </si>
  <si>
    <t>0072</t>
  </si>
  <si>
    <t>117302</t>
  </si>
  <si>
    <t>ISS - CAMPINAS</t>
  </si>
  <si>
    <t>12.01</t>
  </si>
  <si>
    <t>12.01.02</t>
  </si>
  <si>
    <t>622892795</t>
  </si>
  <si>
    <t>12.00000.12.01.00.06</t>
  </si>
  <si>
    <t>Instalações hidraulicas</t>
  </si>
  <si>
    <t>12.00000.12.02.00.82</t>
  </si>
  <si>
    <t>Instalação de comunicação</t>
  </si>
  <si>
    <t>18.07.02</t>
  </si>
  <si>
    <t>622892900</t>
  </si>
  <si>
    <t>18.00000.18.01.04.21</t>
  </si>
  <si>
    <t>Cravação estaca pré moldada Ø</t>
  </si>
  <si>
    <t>18.00000.18.01.04.22</t>
  </si>
  <si>
    <t>18.07.03</t>
  </si>
  <si>
    <t>622892901</t>
  </si>
  <si>
    <t>18.00000.18.01.04.54</t>
  </si>
  <si>
    <t>Emenda de estaca pré moldada</t>
  </si>
  <si>
    <t>11.03</t>
  </si>
  <si>
    <t>11.03.01</t>
  </si>
  <si>
    <t>622892789</t>
  </si>
  <si>
    <t>11.00000.11.03.00.48</t>
  </si>
  <si>
    <t>Consultoria - DEPAVE</t>
  </si>
  <si>
    <t>7662</t>
  </si>
  <si>
    <t>602</t>
  </si>
  <si>
    <t>252</t>
  </si>
  <si>
    <t>0013</t>
  </si>
  <si>
    <t>PIS</t>
  </si>
  <si>
    <t>512</t>
  </si>
  <si>
    <t>SECRETARIA DA RECEITA</t>
  </si>
  <si>
    <t>16.03</t>
  </si>
  <si>
    <t>16.03.01</t>
  </si>
  <si>
    <t>622892870</t>
  </si>
  <si>
    <t>91.00000.91.03.00.01</t>
  </si>
  <si>
    <t>Vigilante</t>
  </si>
  <si>
    <t>273</t>
  </si>
  <si>
    <t>727</t>
  </si>
  <si>
    <t>276</t>
  </si>
  <si>
    <t>0042</t>
  </si>
  <si>
    <t>16.03.02</t>
  </si>
  <si>
    <t>622892871</t>
  </si>
  <si>
    <t>16.00000.91.03.00.05</t>
  </si>
  <si>
    <t>Limpeza de canteiro</t>
  </si>
  <si>
    <t>12.05</t>
  </si>
  <si>
    <t>12.05.02</t>
  </si>
  <si>
    <t>622892817</t>
  </si>
  <si>
    <t>12.00000.12.05.00.13</t>
  </si>
  <si>
    <t>Câmeras de vigilância - VB</t>
  </si>
  <si>
    <t>23391</t>
  </si>
  <si>
    <t>575</t>
  </si>
  <si>
    <t>286</t>
  </si>
  <si>
    <t>0042.1</t>
  </si>
  <si>
    <t>17.07</t>
  </si>
  <si>
    <t>17.07.01</t>
  </si>
  <si>
    <t>622892884</t>
  </si>
  <si>
    <t>17.00000.17.08.00.00</t>
  </si>
  <si>
    <t>Topografia</t>
  </si>
  <si>
    <t>1088</t>
  </si>
  <si>
    <t>674</t>
  </si>
  <si>
    <t>350</t>
  </si>
  <si>
    <t>0006.APC-01</t>
  </si>
  <si>
    <t>16.01</t>
  </si>
  <si>
    <t>16.01.03</t>
  </si>
  <si>
    <t>622892860</t>
  </si>
  <si>
    <t>16.00000.16.01.00.38</t>
  </si>
  <si>
    <t>Caminhão pipa - abastecimento</t>
  </si>
  <si>
    <t>37444</t>
  </si>
  <si>
    <t>676</t>
  </si>
  <si>
    <t>390</t>
  </si>
  <si>
    <t>0016.APC-01</t>
  </si>
  <si>
    <t>COFINS</t>
  </si>
  <si>
    <t>513</t>
  </si>
  <si>
    <t>18.00000.18.01.04.51</t>
  </si>
  <si>
    <t>84.00000.84.01.00.00</t>
  </si>
  <si>
    <t>ISS - Imposto sobre serviço</t>
  </si>
  <si>
    <t>16.02</t>
  </si>
  <si>
    <t>16.02.07</t>
  </si>
  <si>
    <t>622892867</t>
  </si>
  <si>
    <t>16.00000.16.50.00.20</t>
  </si>
  <si>
    <t>Gescorp - Implantação</t>
  </si>
  <si>
    <t>22853</t>
  </si>
  <si>
    <t>563</t>
  </si>
  <si>
    <t>214</t>
  </si>
  <si>
    <t>0004</t>
  </si>
  <si>
    <t>16.02.05</t>
  </si>
  <si>
    <t>622892865</t>
  </si>
  <si>
    <t>16.00000.16.06.00.10</t>
  </si>
  <si>
    <t>Cópias de documentos</t>
  </si>
  <si>
    <t>95948</t>
  </si>
  <si>
    <t>1132</t>
  </si>
  <si>
    <t>232</t>
  </si>
  <si>
    <t>0014</t>
  </si>
  <si>
    <t>CSLL</t>
  </si>
  <si>
    <t>514</t>
  </si>
  <si>
    <t>16.03.05</t>
  </si>
  <si>
    <t>622892874</t>
  </si>
  <si>
    <t>91.00000.91.02.00.50</t>
  </si>
  <si>
    <t>Carpinteiro</t>
  </si>
  <si>
    <t>500</t>
  </si>
  <si>
    <t>569</t>
  </si>
  <si>
    <t>290</t>
  </si>
  <si>
    <t>0065</t>
  </si>
  <si>
    <t>INSS</t>
  </si>
  <si>
    <t>509</t>
  </si>
  <si>
    <t>MINISTÉRIO DA</t>
  </si>
  <si>
    <t>12.00000.12.01.00.07</t>
  </si>
  <si>
    <t>Instalações elétrica provisórias</t>
  </si>
  <si>
    <t>18.06</t>
  </si>
  <si>
    <t>18.06.02</t>
  </si>
  <si>
    <t>622892893</t>
  </si>
  <si>
    <t>18.00000.18.01.11.59</t>
  </si>
  <si>
    <t>Mão de obra Corte de topo de</t>
  </si>
  <si>
    <t>18.06.01</t>
  </si>
  <si>
    <t>622892892</t>
  </si>
  <si>
    <t>18.00000.18.01.01.41</t>
  </si>
  <si>
    <t>Perfis - Mobilização e</t>
  </si>
  <si>
    <t>16.00000.91.03.00.00</t>
  </si>
  <si>
    <t>Porteiro 24h</t>
  </si>
  <si>
    <t>99</t>
  </si>
  <si>
    <t>583</t>
  </si>
  <si>
    <t>360</t>
  </si>
  <si>
    <t>0079</t>
  </si>
  <si>
    <t>18.00000.18.01.04.00</t>
  </si>
  <si>
    <t>Fornecimento estaca pré</t>
  </si>
  <si>
    <t>91.01</t>
  </si>
  <si>
    <t>91.01.01</t>
  </si>
  <si>
    <t>622893096</t>
  </si>
  <si>
    <t>91.00000.91.99.99.99</t>
  </si>
  <si>
    <t>Equipe da obra</t>
  </si>
  <si>
    <t>5826</t>
  </si>
  <si>
    <t>634</t>
  </si>
  <si>
    <t>244</t>
  </si>
  <si>
    <t>0024</t>
  </si>
  <si>
    <t>12.00000.12.01.00.02</t>
  </si>
  <si>
    <t>Emp. Instalações elétricas</t>
  </si>
  <si>
    <t>5273</t>
  </si>
  <si>
    <t>593</t>
  </si>
  <si>
    <t>362</t>
  </si>
  <si>
    <t>0040.1</t>
  </si>
  <si>
    <t>18.06.05</t>
  </si>
  <si>
    <t>622892896</t>
  </si>
  <si>
    <t>18.00000.18.01.11.43</t>
  </si>
  <si>
    <t>Mão de obra Implante de perfil</t>
  </si>
  <si>
    <t>37535</t>
  </si>
  <si>
    <t>665</t>
  </si>
  <si>
    <t>18.00000.18.01.11.50</t>
  </si>
  <si>
    <t>Mão de obra implante de perfil</t>
  </si>
  <si>
    <t>91.00000.91.03.00.43</t>
  </si>
  <si>
    <t>Equipe gerencial -</t>
  </si>
  <si>
    <t>12.03</t>
  </si>
  <si>
    <t>12.03.01</t>
  </si>
  <si>
    <t>622892810</t>
  </si>
  <si>
    <t>12.00000.12.02.01.31</t>
  </si>
  <si>
    <t>Utensílios diversos para</t>
  </si>
  <si>
    <t>18.00000.18.01.11.05</t>
  </si>
  <si>
    <t>18.00000.18.01.04.20</t>
  </si>
  <si>
    <t>91.00000.91.02.00.45</t>
  </si>
  <si>
    <t>Hora extra</t>
  </si>
  <si>
    <t>404</t>
  </si>
  <si>
    <t>0016.01.APC-01</t>
  </si>
  <si>
    <t>TOTAL</t>
  </si>
  <si>
    <t>Total informado no relatório</t>
  </si>
  <si>
    <t>Cruzamento dos tributos: CP de setembro × relatório base (Planilha 1), por tipo de tributo + NF de origem</t>
  </si>
  <si>
    <t>NF de origem</t>
  </si>
  <si>
    <t>Fornecedor de origem</t>
  </si>
  <si>
    <t>Valor CP (R$)</t>
  </si>
  <si>
    <t>Valor base (R$)</t>
  </si>
  <si>
    <t>Dif. CP − base (R$)</t>
  </si>
  <si>
    <t>Linhas na base</t>
  </si>
  <si>
    <t>Pago na base (R$)</t>
  </si>
  <si>
    <t>Saldo a pagar na base (R$)</t>
  </si>
  <si>
    <t>Linhas em amarelo</t>
  </si>
  <si>
    <t>Origem (CP)</t>
  </si>
  <si>
    <t>Status</t>
  </si>
  <si>
    <t>Observação</t>
  </si>
  <si>
    <t>CONTSOC</t>
  </si>
  <si>
    <t>179</t>
  </si>
  <si>
    <t>Tributos da NF 179 (Rocontec Corporativo) estão no CP mas NÃO constam no relatório base. São os R$ 3.818,44 abatidos no rodapé do CP.</t>
  </si>
  <si>
    <t>Diferença de rateio: a base distribui o ISS em 3 insumos (Vigilante, Limpeza, Porteiro) com 4 casas decimais e soma 1.166,9657.</t>
  </si>
  <si>
    <t>Na base, ISS com AP 1132 e saldo a pagar 133,14 (sem pagamento); no CP, AP 591 baixado em 09/09/2026. Verificar se há lançamento em duplicidade.</t>
  </si>
  <si>
    <t>Linhas em amarelo da Planilha 1</t>
  </si>
  <si>
    <t>Total das linhas em amarelo (R$)</t>
  </si>
  <si>
    <t>Tributos de NFs de lote anterior na base (R$)</t>
  </si>
  <si>
    <t>Lote anterior sem destaque amarelo (R$)</t>
  </si>
  <si>
    <t>As 10 linhas em amarelo são todas de NFs de lote anterior (5238, 23391, 500, 99). Ficaram sem destaque, também de lote anterior: IR 23391 (32,33), INSS 500 (329,00) e INSS 5238 (350,00).</t>
  </si>
  <si>
    <t>Relatório CP_09.2026 – Torre SCIC (situação em 02/10/2026) – linhas originais</t>
  </si>
  <si>
    <t>Fonte: CP_09.2026_Torre_Scic_-_SETEMBRO_2026.xlsx, aba CP. Valores em azul = dados copiados do relatório; colunas em preto = fórmulas.</t>
  </si>
  <si>
    <t>Categoria</t>
  </si>
  <si>
    <t>Razão Social Agente</t>
  </si>
  <si>
    <t>Tipo Doc.</t>
  </si>
  <si>
    <t>Nº Doc.</t>
  </si>
  <si>
    <t>AP</t>
  </si>
  <si>
    <t>Retenções (R$)</t>
  </si>
  <si>
    <t>Descontos (R$)</t>
  </si>
  <si>
    <t>Acréscimos (R$)</t>
  </si>
  <si>
    <t>Líquido (R$)</t>
  </si>
  <si>
    <t>Líquido calculado (R$)</t>
  </si>
  <si>
    <t>Confere?</t>
  </si>
  <si>
    <t>Fornecedor</t>
  </si>
  <si>
    <t>7 OLIVEIRAS COMERCIO E CONSTRUCOES LTDA  ME</t>
  </si>
  <si>
    <t>NF MAT</t>
  </si>
  <si>
    <t>189962</t>
  </si>
  <si>
    <t>AGUAJATO TRANSPORTES LTDA</t>
  </si>
  <si>
    <t>NF SERV</t>
  </si>
  <si>
    <t>37681</t>
  </si>
  <si>
    <t>ATIX TECNOLOGIA E SEGURANCA LTDA</t>
  </si>
  <si>
    <t>440</t>
  </si>
  <si>
    <t>23704</t>
  </si>
  <si>
    <t>AUREA DISTRIBUIDORA LTDA</t>
  </si>
  <si>
    <t>14509</t>
  </si>
  <si>
    <t>AXA SEGUROS SA (Fornecedor)</t>
  </si>
  <si>
    <t>1985672</t>
  </si>
  <si>
    <t>1985676</t>
  </si>
  <si>
    <t>BRUNO GOMES FERREIRA</t>
  </si>
  <si>
    <t>C &amp; N COPIADORA LTDA</t>
  </si>
  <si>
    <t>CONTA</t>
  </si>
  <si>
    <t>CONCRELONGO SERVICOS DE CONCRETAGEM LTDA</t>
  </si>
  <si>
    <t>NF_REF</t>
  </si>
  <si>
    <t>CTE GERENCIAMENTO E CONSULTORIA EMPRESARIAL LTDA</t>
  </si>
  <si>
    <t>D PAULA TERRAPLENAGEM E CONSTRUCAO CIVIL LTDA</t>
  </si>
  <si>
    <t>FATURA</t>
  </si>
  <si>
    <t>610</t>
  </si>
  <si>
    <t>613</t>
  </si>
  <si>
    <t>DEPOSITO DE MADEIRA SAO LUIZ LTDA</t>
  </si>
  <si>
    <t>840236</t>
  </si>
  <si>
    <t>840206</t>
  </si>
  <si>
    <t>840239</t>
  </si>
  <si>
    <t>840205</t>
  </si>
  <si>
    <t>840238</t>
  </si>
  <si>
    <t>E.S CONSTRUCAO CIVIL E TERRAPLENAGEM LTDA</t>
  </si>
  <si>
    <t>51</t>
  </si>
  <si>
    <t>EMPORIO DA MADEIRA UNIPESSOAL LTDA</t>
  </si>
  <si>
    <t>2189</t>
  </si>
  <si>
    <t>2193</t>
  </si>
  <si>
    <t>F4 MATERIAIS DE CONSTRUCOES LTDA</t>
  </si>
  <si>
    <t>9181</t>
  </si>
  <si>
    <t>FIOCAMP COMERCIO DE MATERIAIS ELETRICOS LTDA</t>
  </si>
  <si>
    <t>308979</t>
  </si>
  <si>
    <t>FREE LINE MOVEIS PARA ESCRITORIO LTDA</t>
  </si>
  <si>
    <t>4295</t>
  </si>
  <si>
    <t>GERDAU ACOMINAS SA</t>
  </si>
  <si>
    <t>3611480</t>
  </si>
  <si>
    <t>3611743</t>
  </si>
  <si>
    <t>3617988</t>
  </si>
  <si>
    <t>3618398</t>
  </si>
  <si>
    <t>3620616</t>
  </si>
  <si>
    <t>3627477</t>
  </si>
  <si>
    <t>3627476</t>
  </si>
  <si>
    <t>3628341</t>
  </si>
  <si>
    <t>GESCORPGO GERENCIAMENTO SERVICOS CORPORATIVOS LTDA</t>
  </si>
  <si>
    <t>23002</t>
  </si>
  <si>
    <t>GSA SERRALHERIA E COMUNICACAO VISUAL LTDA</t>
  </si>
  <si>
    <t>635</t>
  </si>
  <si>
    <t>IGOR MORELI BARROS</t>
  </si>
  <si>
    <t>617</t>
  </si>
  <si>
    <t>621</t>
  </si>
  <si>
    <t>Tributo</t>
  </si>
  <si>
    <t>ITUPETRO-COMERCIO E TRANSPORTE DE DERIV.PETROLEO LTDA.</t>
  </si>
  <si>
    <t>51016</t>
  </si>
  <si>
    <t>51185</t>
  </si>
  <si>
    <t>51243</t>
  </si>
  <si>
    <t>51328</t>
  </si>
  <si>
    <t>51421</t>
  </si>
  <si>
    <t>51534</t>
  </si>
  <si>
    <t>LAUREA COMERCIO DE PANIFICACAO LTDA</t>
  </si>
  <si>
    <t>1</t>
  </si>
  <si>
    <t>LAUREA TERRAPLENAGEM E ALUGUEL DE MAQUINAS E EQUIPAMENTOS LTDA</t>
  </si>
  <si>
    <t>23</t>
  </si>
  <si>
    <t>LOXAM DO BRASIL SA</t>
  </si>
  <si>
    <t>70108</t>
  </si>
  <si>
    <t>MINISTÉRIO DA FAZENDA SECRETARIA DA RECEITA FEDERAL (1708)</t>
  </si>
  <si>
    <t>MINISTÉRIO DA PREVIDÊNCIA E ASSISTÊNCIA SOCIAL (2631) (Obrigação Social)</t>
  </si>
  <si>
    <t>MULTIMAQUINAS LOCACAO DE MAQUINAS E EQUIPAMENTOS LTDA</t>
  </si>
  <si>
    <t>81195</t>
  </si>
  <si>
    <t>81492</t>
  </si>
  <si>
    <t>81763</t>
  </si>
  <si>
    <t>81816</t>
  </si>
  <si>
    <t>OLUAP EQUIPAMENTOS MATERIAIS ELETRICOS E REPRESENTACOES LTDA</t>
  </si>
  <si>
    <t>52071</t>
  </si>
  <si>
    <t>PADOVANI NETO ENGENHARIA LTDA</t>
  </si>
  <si>
    <t>508</t>
  </si>
  <si>
    <t>PETRA SOLUCOES AMBIENTAIS LTDA</t>
  </si>
  <si>
    <t>539</t>
  </si>
  <si>
    <t>NFES</t>
  </si>
  <si>
    <t>543</t>
  </si>
  <si>
    <t>PETROCAMP DERIVADOS DE PETROLEO LTDA</t>
  </si>
  <si>
    <t>383403</t>
  </si>
  <si>
    <t>383526</t>
  </si>
  <si>
    <t>384450</t>
  </si>
  <si>
    <t>PLANA REFLORESTAMENTO LTDA</t>
  </si>
  <si>
    <t>PREFEITURA DO MUNICÍPIO DE SÃO PAULO (ISS)</t>
  </si>
  <si>
    <t>QUIBRITA MINERADORA LTDA.</t>
  </si>
  <si>
    <t>284764</t>
  </si>
  <si>
    <t>284745</t>
  </si>
  <si>
    <t>285012</t>
  </si>
  <si>
    <t>282011</t>
  </si>
  <si>
    <t>QUIBRITA MINERADORA LTDA. - MATRIZ</t>
  </si>
  <si>
    <t>283892</t>
  </si>
  <si>
    <t>284434</t>
  </si>
  <si>
    <t>283794</t>
  </si>
  <si>
    <t>283890</t>
  </si>
  <si>
    <t>284447</t>
  </si>
  <si>
    <t>RILE CONSTRUCOES ELETRICAS LTDA</t>
  </si>
  <si>
    <t>ROCONTEC CESSAO DE MAO DE OBRA LTDA (Fornecedor)</t>
  </si>
  <si>
    <t>5880</t>
  </si>
  <si>
    <t>ROCONTEC CORPORATIVO LTDA (Fornecedor)</t>
  </si>
  <si>
    <t>194</t>
  </si>
  <si>
    <t>RS VIGILANCIA E SEGURANCA PRIVADA E CONSERVACAO</t>
  </si>
  <si>
    <t>S A DA SILVA EVENTOS CORPORATIVOS E EQUIPAMENTOS</t>
  </si>
  <si>
    <t>1468</t>
  </si>
  <si>
    <t>SAO LEOPOLDO TRR DIESEL LTDA</t>
  </si>
  <si>
    <t>2118</t>
  </si>
  <si>
    <t>411</t>
  </si>
  <si>
    <t>2527</t>
  </si>
  <si>
    <t>SECRETARIA DA RECEITA FEDERAL  (5987) (Obrigação Social)</t>
  </si>
  <si>
    <t>SECRETARIA DA RECEITA FEDERAL (5952) (Obrigação Social)</t>
  </si>
  <si>
    <t>SECRETARIA DA RECEITA FEDERAL (5960) (Obrigação Social)</t>
  </si>
  <si>
    <t>SECRETARIA DA RECEITA FEDERAL (5979) (Obrigação Social)</t>
  </si>
  <si>
    <t>SHOPPING DAS PERSIANAS CAMPINAS LTDA</t>
  </si>
  <si>
    <t>2050</t>
  </si>
  <si>
    <t>SOLOFIX CONTENCOES E ENGENHARIA LTDA</t>
  </si>
  <si>
    <t>15</t>
  </si>
  <si>
    <t>VOLLUI TECNOLOGIA LTDA</t>
  </si>
  <si>
    <t>302</t>
  </si>
  <si>
    <t>303</t>
  </si>
  <si>
    <t>301</t>
  </si>
  <si>
    <t>ZAP IND COM DE EQUIPAMENTOS PARA CONSTRUCAO LTDA</t>
  </si>
  <si>
    <t>169405</t>
  </si>
  <si>
    <t>170363</t>
  </si>
  <si>
    <t>Conciliação – Controle de notas e comprovantes enviados (aba Planilha1)</t>
  </si>
  <si>
    <t>Fonte: CONTROLE_DE_NOTAS_E_COMPROVANTES_ENVIADOS.xlsx. Coluna "NF corrigida" (amarelo) ajusta 4 números digitados diferente do CP.</t>
  </si>
  <si>
    <t>Nº NF (original)</t>
  </si>
  <si>
    <t>NF corrigida</t>
  </si>
  <si>
    <t>Data emissão</t>
  </si>
  <si>
    <t>Empresa</t>
  </si>
  <si>
    <t>Bruto (R$)</t>
  </si>
  <si>
    <t>Retenção (R$)</t>
  </si>
  <si>
    <t>Comprovante</t>
  </si>
  <si>
    <t>Observação original</t>
  </si>
  <si>
    <t>Nota de aferição</t>
  </si>
  <si>
    <t>MULTI MAQUINAS</t>
  </si>
  <si>
    <t>SIM</t>
  </si>
  <si>
    <t>FIOCAMP COMERCIO</t>
  </si>
  <si>
    <t>ZAP IND COM DE EQUIPAMENTOS</t>
  </si>
  <si>
    <t>GESCORPGO GERECIAMENTO</t>
  </si>
  <si>
    <t>FREE LINE MOVEIS</t>
  </si>
  <si>
    <t>GERDAU AÇOS MINAS</t>
  </si>
  <si>
    <t>SOLOFIX  CONTEÇÕES</t>
  </si>
  <si>
    <t>7735</t>
  </si>
  <si>
    <t>PLANA REFLORESTAMENTO</t>
  </si>
  <si>
    <t>Nº digitado 7735; no CP é 7662</t>
  </si>
  <si>
    <t>ROCONTEC CESSÃO</t>
  </si>
  <si>
    <t>LOXAM DO BRASIL S.A</t>
  </si>
  <si>
    <t>E a nota 70581?</t>
  </si>
  <si>
    <t>SÃO LEOPOLDO</t>
  </si>
  <si>
    <t>CTE GERENCIAMENTO</t>
  </si>
  <si>
    <t>AGUAJATO TRANSPORTES</t>
  </si>
  <si>
    <t>EMPORIO DA MADEIRA</t>
  </si>
  <si>
    <t>OLUAP EQUIPAMENTOS</t>
  </si>
  <si>
    <t>DEPOSITO DE MADEIRAS SÃO LUIZ</t>
  </si>
  <si>
    <t>Data digitada como texto "28//08/2026"</t>
  </si>
  <si>
    <t>C &amp; N COPIAS</t>
  </si>
  <si>
    <t>AUREA DISTIBUIDORA</t>
  </si>
  <si>
    <t>RILE CONSTRUÇÕES</t>
  </si>
  <si>
    <t>E a nota 5238?</t>
  </si>
  <si>
    <t>AXA SEGUROS</t>
  </si>
  <si>
    <t>SHOPPING DAS PERSIANAS</t>
  </si>
  <si>
    <t>PETROCAMP DERIVADOS</t>
  </si>
  <si>
    <t>ITUPETRO COMERCIO</t>
  </si>
  <si>
    <t>E a nota 37805?</t>
  </si>
  <si>
    <t>F4 MATERIAIS DE CONSTRUÇÃO</t>
  </si>
  <si>
    <t>BRUNO GOMES</t>
  </si>
  <si>
    <t>S.A DA SILVA EVENTOS</t>
  </si>
  <si>
    <t>RS VIGILANCIA</t>
  </si>
  <si>
    <t>GSA SERRALHERIA</t>
  </si>
  <si>
    <t>D PAULA TERRAPLANAGEM</t>
  </si>
  <si>
    <t>E.S. CONSTRUÇÃO</t>
  </si>
  <si>
    <t>PETRA SOLUÇÕES</t>
  </si>
  <si>
    <t>PADOVANI NETO</t>
  </si>
  <si>
    <t>Nº digitado 500; no CP é 508</t>
  </si>
  <si>
    <t>CONCRELONGO SERVIÇOS</t>
  </si>
  <si>
    <t>IGOR MORELI</t>
  </si>
  <si>
    <t>31</t>
  </si>
  <si>
    <t>ATX TECNOLOGIA</t>
  </si>
  <si>
    <t>Nº digitado 31; no CP é 440</t>
  </si>
  <si>
    <t>QUIBRITA MINERAÇÃO</t>
  </si>
  <si>
    <t>283434</t>
  </si>
  <si>
    <t>Nº digitado 283434; no CP é 284434; Data digitada como texto "23/092026"</t>
  </si>
  <si>
    <t>Ano digitado 2029</t>
  </si>
  <si>
    <t>7 OLIVEIRAS</t>
  </si>
  <si>
    <t>VOLLUI TECNOLOGIA</t>
  </si>
  <si>
    <t>ROCONTEC CORPORATIVO TAXA</t>
  </si>
  <si>
    <t>LAURA TERRAPLANAGEM</t>
  </si>
  <si>
    <t>LAURA COMERCIO DE PANIFICAD.</t>
  </si>
  <si>
    <t>Cruzamento nota a nota: Conciliação × CP (fornecedores)</t>
  </si>
  <si>
    <t>Busca no CP pela chave "F|NF corrigida". Diferenças positivas = conciliação acima do CP.</t>
  </si>
  <si>
    <t>NF</t>
  </si>
  <si>
    <t>Empresa (conciliação)</t>
  </si>
  <si>
    <t>Agente no CP</t>
  </si>
  <si>
    <t>Bruto conc. (R$)</t>
  </si>
  <si>
    <t>Dif. bruto (R$)</t>
  </si>
  <si>
    <t>Líquido conc. (R$)</t>
  </si>
  <si>
    <t>Líquido CP (R$)</t>
  </si>
  <si>
    <t>Dif. líquido (R$)</t>
  </si>
  <si>
    <t>Descontos CP (R$)</t>
  </si>
  <si>
    <t>Acréscimos CP (R$)</t>
  </si>
  <si>
    <t>Retenções CP (R$)</t>
  </si>
  <si>
    <t>Motivo</t>
  </si>
  <si>
    <t>Conciliação digitou líquido 2.721,00; CP = 2.721,65</t>
  </si>
  <si>
    <t>Acréscimo de 0,30 lançado como bruto na conciliação</t>
  </si>
  <si>
    <t>Acréscimo de 2,70 lançado como bruto na conciliação</t>
  </si>
  <si>
    <t>Acréscimo de 0,02 lançado como bruto na conciliação</t>
  </si>
  <si>
    <t>CP tem desconto de 7,50; conciliação usou bruto já com desconto</t>
  </si>
  <si>
    <t>No CP a NF entrou líquida (11.172,94) e o ISS de 227,06 virou guia separada; a conciliação usou o bruto 11.400,00</t>
  </si>
  <si>
    <t>Notas OK</t>
  </si>
  <si>
    <t>Notas com divergência</t>
  </si>
  <si>
    <t>Notas do CP fora da conciliação</t>
  </si>
  <si>
    <t>Guias de tributos no CP de setembro</t>
  </si>
  <si>
    <t>Órgão</t>
  </si>
  <si>
    <t>Fornecedor de origem (CP)</t>
  </si>
  <si>
    <t>Nesta conciliação (R$)</t>
  </si>
  <si>
    <t>Lote anterior (R$)</t>
  </si>
  <si>
    <t>Retenções das NFs de fornecedor no CP (R$)</t>
  </si>
  <si>
    <t>(−) Guias pagas no mês referentes a essas NFs (R$)</t>
  </si>
  <si>
    <t>(=) Retenções ainda sem guia em setembro (vencem depois) (R$)</t>
  </si>
  <si>
    <t>4. Conciliação com bloco de guias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</si>
</sst>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;\-"/>
    <numFmt numFmtId="165" formatCode="#,##0.0000;\(#,##0.0000\);\-"/>
  </numFmts>
  <fonts count="9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11"/>
      <color rgb="FF595959"/>
      <name val="Arial"/>
      <charset val="1"/>
    </font>
    <font>
      <b/>
      <sz val="11"/>
      <color rgb="FFFFFFFF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sz val="11"/>
      <color rgb="FF0000FF"/>
      <name val="Arial"/>
      <charset val="1"/>
    </font>
    <font>
      <sz val="10"/>
      <name val="Arial"/>
      <family val="2"/>
    </font>
    <font>
      <sz val="11"/>
      <color rgb="FF008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E2EFDA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F8CBAD"/>
        <b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4" fillId="0" borderId="1" xfId="0" applyNumberFormat="1" applyFont="1" applyBorder="1"/>
    <xf numFmtId="0" fontId="5" fillId="0" borderId="1" xfId="0" applyFont="1" applyBorder="1"/>
    <xf numFmtId="164" fontId="5" fillId="0" borderId="1" xfId="0" applyNumberFormat="1" applyFont="1" applyBorder="1"/>
    <xf numFmtId="0" fontId="5" fillId="3" borderId="1" xfId="0" applyFont="1" applyFill="1" applyBorder="1"/>
    <xf numFmtId="164" fontId="5" fillId="3" borderId="1" xfId="0" applyNumberFormat="1" applyFont="1" applyFill="1" applyBorder="1"/>
    <xf numFmtId="1" fontId="4" fillId="0" borderId="1" xfId="0" applyNumberFormat="1" applyFont="1" applyBorder="1"/>
    <xf numFmtId="164" fontId="6" fillId="0" borderId="1" xfId="0" applyNumberFormat="1" applyFont="1" applyBorder="1"/>
    <xf numFmtId="0" fontId="5" fillId="4" borderId="1" xfId="0" applyFont="1" applyFill="1" applyBorder="1"/>
    <xf numFmtId="164" fontId="5" fillId="4" borderId="1" xfId="0" applyNumberFormat="1" applyFont="1" applyFill="1" applyBorder="1"/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/>
    <xf numFmtId="0" fontId="5" fillId="0" borderId="0" xfId="0" applyFont="1"/>
    <xf numFmtId="164" fontId="5" fillId="0" borderId="0" xfId="0" applyNumberFormat="1" applyFont="1"/>
    <xf numFmtId="164" fontId="6" fillId="0" borderId="0" xfId="0" applyNumberFormat="1" applyFont="1"/>
    <xf numFmtId="1" fontId="5" fillId="0" borderId="0" xfId="0" applyNumberFormat="1" applyFont="1"/>
    <xf numFmtId="164" fontId="0" fillId="0" borderId="0" xfId="0" applyNumberFormat="1"/>
    <xf numFmtId="0" fontId="4" fillId="5" borderId="1" xfId="0" applyFont="1" applyFill="1" applyBorder="1"/>
    <xf numFmtId="14" fontId="4" fillId="5" borderId="1" xfId="0" applyNumberFormat="1" applyFont="1" applyFill="1" applyBorder="1"/>
    <xf numFmtId="164" fontId="6" fillId="5" borderId="1" xfId="0" applyNumberFormat="1" applyFont="1" applyFill="1" applyBorder="1"/>
    <xf numFmtId="164" fontId="4" fillId="5" borderId="1" xfId="0" applyNumberFormat="1" applyFont="1" applyFill="1" applyBorder="1"/>
    <xf numFmtId="0" fontId="4" fillId="4" borderId="1" xfId="0" applyFont="1" applyFill="1" applyBorder="1"/>
    <xf numFmtId="14" fontId="4" fillId="6" borderId="1" xfId="0" applyNumberFormat="1" applyFont="1" applyFill="1" applyBorder="1"/>
    <xf numFmtId="0" fontId="8" fillId="0" borderId="1" xfId="0" applyFont="1" applyBorder="1"/>
    <xf numFmtId="0" fontId="0" fillId="0" borderId="1" xfId="0" applyBorder="1"/>
    <xf numFmtId="164" fontId="8" fillId="0" borderId="1" xfId="0" applyNumberFormat="1" applyFont="1" applyBorder="1"/>
    <xf numFmtId="164" fontId="0" fillId="0" borderId="1" xfId="0" applyNumberFormat="1" applyBorder="1"/>
    <xf numFmtId="0" fontId="3" fillId="2" borderId="1" xfId="0" applyFont="1" applyFill="1" applyBorder="1" applyAlignment="1">
      <alignment horizontal="center" wrapText="1"/>
    </xf>
    <xf numFmtId="164" fontId="8" fillId="0" borderId="0" xfId="0" applyNumberFormat="1" applyFont="1"/>
    <xf numFmtId="0" fontId="4" fillId="0" borderId="1" xfId="0" applyFont="1" applyFill="1" applyBorder="1"/>
    <xf numFmtId="14" fontId="4" fillId="0" borderId="1" xfId="0" applyNumberFormat="1" applyFont="1" applyFill="1" applyBorder="1"/>
    <xf numFmtId="165" fontId="6" fillId="0" borderId="1" xfId="0" applyNumberFormat="1" applyFont="1" applyFill="1" applyBorder="1"/>
    <xf numFmtId="0" fontId="0" fillId="0" borderId="0" xfId="0" applyFill="1"/>
    <xf numFmtId="164" fontId="6" fillId="0" borderId="1" xfId="0" applyNumberFormat="1" applyFont="1" applyFill="1" applyBorder="1"/>
  </cellXfs>
  <cellStyles count="1">
    <cellStyle name="Normal" xfId="0" builtinId="0"/>
  </cellStyles>
  <dxfs count="8">
    <dxf>
      <fill>
        <patternFill>
          <bgColor rgb="FFE2EFDA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E2EFDA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1"/>
  <sheetViews>
    <sheetView showGridLines="0" topLeftCell="A45" zoomScaleNormal="100" workbookViewId="0">
      <selection activeCell="A71" sqref="A71:A72"/>
    </sheetView>
  </sheetViews>
  <sheetFormatPr defaultColWidth="8.6640625" defaultRowHeight="14.4" x14ac:dyDescent="0.3"/>
  <cols>
    <col min="1" max="1" width="62" customWidth="1"/>
    <col min="2" max="2" width="18" customWidth="1"/>
  </cols>
  <sheetData>
    <row r="1" spans="1:2" ht="17.399999999999999" x14ac:dyDescent="0.3">
      <c r="A1" s="1" t="s">
        <v>0</v>
      </c>
    </row>
    <row r="3" spans="1:2" x14ac:dyDescent="0.3">
      <c r="A3" s="3" t="s">
        <v>1</v>
      </c>
      <c r="B3" s="3" t="s">
        <v>2</v>
      </c>
    </row>
    <row r="4" spans="1:2" x14ac:dyDescent="0.3">
      <c r="A4" s="4" t="s">
        <v>3</v>
      </c>
      <c r="B4" s="5">
        <f>CP_Setembro!M127</f>
        <v>3459299.9800000018</v>
      </c>
    </row>
    <row r="5" spans="1:2" x14ac:dyDescent="0.3">
      <c r="A5" s="4" t="s">
        <v>4</v>
      </c>
      <c r="B5" s="5">
        <f>-SUMIFS(CP_Setembro!$M$5:$M$126,CP_Setembro!$B$5:$B$126,"Tributo")</f>
        <v>-32175.130000000005</v>
      </c>
    </row>
    <row r="6" spans="1:2" x14ac:dyDescent="0.3">
      <c r="A6" s="6" t="s">
        <v>5</v>
      </c>
      <c r="B6" s="7">
        <f>B4+B5</f>
        <v>3427124.850000002</v>
      </c>
    </row>
    <row r="7" spans="1:2" x14ac:dyDescent="0.3">
      <c r="A7" s="4" t="s">
        <v>6</v>
      </c>
      <c r="B7" s="5">
        <f>Cruzamento!I91</f>
        <v>-0.65000000000009095</v>
      </c>
    </row>
    <row r="8" spans="1:2" x14ac:dyDescent="0.3">
      <c r="A8" s="6" t="s">
        <v>7</v>
      </c>
      <c r="B8" s="7">
        <f>B6+B7</f>
        <v>3427124.200000002</v>
      </c>
    </row>
    <row r="9" spans="1:2" x14ac:dyDescent="0.3">
      <c r="A9" s="4" t="s">
        <v>8</v>
      </c>
      <c r="B9" s="5">
        <f>Conciliacao!F91</f>
        <v>3427124.2000000007</v>
      </c>
    </row>
    <row r="10" spans="1:2" x14ac:dyDescent="0.3">
      <c r="A10" s="8" t="s">
        <v>9</v>
      </c>
      <c r="B10" s="9">
        <f>B9-B8</f>
        <v>0</v>
      </c>
    </row>
    <row r="12" spans="1:2" x14ac:dyDescent="0.3">
      <c r="A12" s="3" t="s">
        <v>10</v>
      </c>
      <c r="B12" s="3" t="s">
        <v>2</v>
      </c>
    </row>
    <row r="13" spans="1:2" x14ac:dyDescent="0.3">
      <c r="A13" s="4" t="s">
        <v>11</v>
      </c>
      <c r="B13" s="5">
        <f>SUMIFS(CP_Setembro!$I$5:$I$126,CP_Setembro!$B$5:$B$126,"Fornecedor")</f>
        <v>3523655.060000001</v>
      </c>
    </row>
    <row r="14" spans="1:2" x14ac:dyDescent="0.3">
      <c r="A14" s="4" t="s">
        <v>12</v>
      </c>
      <c r="B14" s="5">
        <f>SUMIFS(Cruzamento!$F$5:$F$90,Cruzamento!$A$5:$A$90,"10498")</f>
        <v>227.05999999999949</v>
      </c>
    </row>
    <row r="15" spans="1:2" x14ac:dyDescent="0.3">
      <c r="A15" s="4" t="s">
        <v>13</v>
      </c>
      <c r="B15" s="5">
        <f>SUMIFS(Cruzamento!$F$5:$F$90,Cruzamento!$A$5:$A$90,"273")</f>
        <v>-7.5</v>
      </c>
    </row>
    <row r="16" spans="1:2" x14ac:dyDescent="0.3">
      <c r="A16" s="4" t="s">
        <v>14</v>
      </c>
      <c r="B16" s="5">
        <f>SUMIFS(Cruzamento!$F$5:$F$90,Cruzamento!$A$5:$A$90,"9181")+SUMIFS(Cruzamento!$F$5:$F$90,Cruzamento!$A$5:$A$90,"840238")+SUMIFS(Cruzamento!$F$5:$F$90,Cruzamento!$A$5:$A$90,"1468")</f>
        <v>3.0200000000011187</v>
      </c>
    </row>
    <row r="17" spans="1:2" x14ac:dyDescent="0.3">
      <c r="A17" s="6" t="s">
        <v>15</v>
      </c>
      <c r="B17" s="7">
        <f>SUM(B13:B16)</f>
        <v>3523877.6400000011</v>
      </c>
    </row>
    <row r="18" spans="1:2" x14ac:dyDescent="0.3">
      <c r="A18" s="4" t="s">
        <v>16</v>
      </c>
      <c r="B18" s="5">
        <f>Conciliacao!E91</f>
        <v>3523877.6400000006</v>
      </c>
    </row>
    <row r="19" spans="1:2" x14ac:dyDescent="0.3">
      <c r="A19" s="8" t="s">
        <v>9</v>
      </c>
      <c r="B19" s="9">
        <f>B18-B17</f>
        <v>0</v>
      </c>
    </row>
    <row r="21" spans="1:2" x14ac:dyDescent="0.3">
      <c r="A21" s="3" t="s">
        <v>17</v>
      </c>
      <c r="B21" s="3" t="s">
        <v>18</v>
      </c>
    </row>
    <row r="22" spans="1:2" x14ac:dyDescent="0.3">
      <c r="A22" s="4" t="s">
        <v>19</v>
      </c>
      <c r="B22" s="10">
        <f>COUNTA(Conciliacao!A5:A90)</f>
        <v>86</v>
      </c>
    </row>
    <row r="23" spans="1:2" x14ac:dyDescent="0.3">
      <c r="A23" s="4" t="s">
        <v>20</v>
      </c>
      <c r="B23" s="10">
        <f>COUNTIF(CP_Setembro!$B$5:$B$126,"Fornecedor")</f>
        <v>86</v>
      </c>
    </row>
    <row r="24" spans="1:2" x14ac:dyDescent="0.3">
      <c r="A24" s="4" t="s">
        <v>21</v>
      </c>
      <c r="B24" s="10">
        <f>Cruzamento!C93</f>
        <v>80</v>
      </c>
    </row>
    <row r="25" spans="1:2" x14ac:dyDescent="0.3">
      <c r="A25" s="4" t="s">
        <v>22</v>
      </c>
      <c r="B25" s="10">
        <f>Cruzamento!C94</f>
        <v>6</v>
      </c>
    </row>
    <row r="26" spans="1:2" x14ac:dyDescent="0.3">
      <c r="A26" s="4" t="s">
        <v>23</v>
      </c>
      <c r="B26" s="10">
        <f>Cruzamento!C95</f>
        <v>0</v>
      </c>
    </row>
    <row r="27" spans="1:2" x14ac:dyDescent="0.3">
      <c r="A27" s="4" t="s">
        <v>24</v>
      </c>
      <c r="B27" s="10">
        <f>COUNTIF(Conciliacao!J5:J90,"Nº digitado*")</f>
        <v>4</v>
      </c>
    </row>
    <row r="29" spans="1:2" x14ac:dyDescent="0.3">
      <c r="A29" s="3" t="s">
        <v>547</v>
      </c>
      <c r="B29" s="3" t="s">
        <v>2</v>
      </c>
    </row>
    <row r="30" spans="1:2" x14ac:dyDescent="0.3">
      <c r="A30" s="4" t="s">
        <v>25</v>
      </c>
      <c r="B30" s="5">
        <f>B6</f>
        <v>3427124.850000002</v>
      </c>
    </row>
    <row r="31" spans="1:2" x14ac:dyDescent="0.3">
      <c r="A31" s="4" t="s">
        <v>26</v>
      </c>
      <c r="B31" s="5">
        <f>-B5</f>
        <v>32175.130000000005</v>
      </c>
    </row>
    <row r="32" spans="1:2" x14ac:dyDescent="0.3">
      <c r="A32" s="6" t="s">
        <v>27</v>
      </c>
      <c r="B32" s="7">
        <f>B30+B31</f>
        <v>3459299.9800000018</v>
      </c>
    </row>
    <row r="33" spans="1:2" x14ac:dyDescent="0.3">
      <c r="A33" s="4" t="s">
        <v>28</v>
      </c>
      <c r="B33" s="5">
        <f>B4</f>
        <v>3459299.9800000018</v>
      </c>
    </row>
    <row r="34" spans="1:2" x14ac:dyDescent="0.3">
      <c r="A34" s="8" t="s">
        <v>29</v>
      </c>
      <c r="B34" s="9">
        <f>B32-B33</f>
        <v>0</v>
      </c>
    </row>
    <row r="36" spans="1:2" x14ac:dyDescent="0.3">
      <c r="A36" s="3" t="s">
        <v>30</v>
      </c>
      <c r="B36" s="3" t="s">
        <v>2</v>
      </c>
    </row>
    <row r="37" spans="1:2" x14ac:dyDescent="0.3">
      <c r="A37" s="4" t="s">
        <v>31</v>
      </c>
      <c r="B37" s="5">
        <f>Tributos!I11</f>
        <v>25875.919999999998</v>
      </c>
    </row>
    <row r="38" spans="1:2" x14ac:dyDescent="0.3">
      <c r="A38" s="4" t="s">
        <v>32</v>
      </c>
      <c r="B38" s="5">
        <f>Tributos!J11</f>
        <v>6299.21</v>
      </c>
    </row>
    <row r="39" spans="1:2" x14ac:dyDescent="0.3">
      <c r="A39" s="6" t="s">
        <v>33</v>
      </c>
      <c r="B39" s="7">
        <f>B37+B38</f>
        <v>32175.129999999997</v>
      </c>
    </row>
    <row r="40" spans="1:2" x14ac:dyDescent="0.3">
      <c r="A40" s="4" t="s">
        <v>34</v>
      </c>
      <c r="B40" s="5">
        <f>Tributos!K15</f>
        <v>70649.81</v>
      </c>
    </row>
    <row r="42" spans="1:2" x14ac:dyDescent="0.3">
      <c r="A42" s="3" t="s">
        <v>35</v>
      </c>
      <c r="B42" s="3" t="s">
        <v>2</v>
      </c>
    </row>
    <row r="43" spans="1:2" x14ac:dyDescent="0.3">
      <c r="A43" s="4" t="s">
        <v>36</v>
      </c>
      <c r="B43" s="5">
        <f>-B5</f>
        <v>32175.130000000005</v>
      </c>
    </row>
    <row r="44" spans="1:2" x14ac:dyDescent="0.3">
      <c r="A44" s="4" t="s">
        <v>37</v>
      </c>
      <c r="B44" s="5">
        <f>-SUMIFS(Cruz_Tributos!$D$4:$D$39,Cruz_Tributos!$L$4:$L$39,"Só no CP")</f>
        <v>-3818.4500000000003</v>
      </c>
    </row>
    <row r="45" spans="1:2" x14ac:dyDescent="0.3">
      <c r="A45" s="4" t="s">
        <v>38</v>
      </c>
      <c r="B45" s="5">
        <f>-SUMIFS(Cruz_Tributos!$F$4:$F$39,Cruz_Tributos!$L$4:$L$39,"Dif. de rateio")</f>
        <v>0.3357</v>
      </c>
    </row>
    <row r="46" spans="1:2" x14ac:dyDescent="0.3">
      <c r="A46" s="6" t="s">
        <v>39</v>
      </c>
      <c r="B46" s="7">
        <f>B43+B44+B45</f>
        <v>28357.015700000004</v>
      </c>
    </row>
    <row r="47" spans="1:2" x14ac:dyDescent="0.3">
      <c r="A47" s="4" t="s">
        <v>40</v>
      </c>
      <c r="B47" s="5">
        <f>Impostos_Base!T61</f>
        <v>28357.015800000005</v>
      </c>
    </row>
    <row r="48" spans="1:2" x14ac:dyDescent="0.3">
      <c r="A48" s="8" t="s">
        <v>9</v>
      </c>
      <c r="B48" s="9">
        <f>ROUND(B47-B46,2)</f>
        <v>0</v>
      </c>
    </row>
    <row r="49" spans="1:2" x14ac:dyDescent="0.3">
      <c r="A49" s="4" t="s">
        <v>41</v>
      </c>
      <c r="B49" s="5">
        <f>Impostos_Base!S61</f>
        <v>133.13999999999999</v>
      </c>
    </row>
    <row r="51" spans="1:2" x14ac:dyDescent="0.3">
      <c r="A51" s="3" t="s">
        <v>42</v>
      </c>
      <c r="B51" s="3" t="s">
        <v>2</v>
      </c>
    </row>
    <row r="52" spans="1:2" x14ac:dyDescent="0.3">
      <c r="A52" s="4" t="s">
        <v>3</v>
      </c>
      <c r="B52" s="5">
        <f>B4</f>
        <v>3459299.9800000018</v>
      </c>
    </row>
    <row r="53" spans="1:2" x14ac:dyDescent="0.3">
      <c r="A53" s="4" t="s">
        <v>43</v>
      </c>
      <c r="B53" s="5">
        <f>-INDEX(CP_Setembro!$M$5:$M$126,MATCH("F|194",CP_Setembro!$A$5:$A$126,0))</f>
        <v>-97615.43</v>
      </c>
    </row>
    <row r="54" spans="1:2" x14ac:dyDescent="0.3">
      <c r="A54" s="4" t="s">
        <v>44</v>
      </c>
      <c r="B54" s="5">
        <f>B44</f>
        <v>-3818.4500000000003</v>
      </c>
    </row>
    <row r="55" spans="1:2" x14ac:dyDescent="0.3">
      <c r="A55" s="6" t="s">
        <v>45</v>
      </c>
      <c r="B55" s="7">
        <f>B52+B53+B54</f>
        <v>3357866.1000000015</v>
      </c>
    </row>
    <row r="56" spans="1:2" x14ac:dyDescent="0.3">
      <c r="A56" s="4" t="s">
        <v>46</v>
      </c>
      <c r="B56" s="11">
        <v>3357866.11</v>
      </c>
    </row>
    <row r="57" spans="1:2" x14ac:dyDescent="0.3">
      <c r="A57" s="12" t="s">
        <v>47</v>
      </c>
      <c r="B57" s="13">
        <f>ROUND(B56-B55,2)</f>
        <v>0.01</v>
      </c>
    </row>
    <row r="59" spans="1:2" x14ac:dyDescent="0.3">
      <c r="A59" s="3" t="s">
        <v>48</v>
      </c>
      <c r="B59" s="3" t="s">
        <v>2</v>
      </c>
    </row>
    <row r="60" spans="1:2" x14ac:dyDescent="0.3">
      <c r="A60" s="4" t="s">
        <v>25</v>
      </c>
      <c r="B60" s="5">
        <f>B6</f>
        <v>3427124.850000002</v>
      </c>
    </row>
    <row r="61" spans="1:2" x14ac:dyDescent="0.3">
      <c r="A61" s="4" t="s">
        <v>49</v>
      </c>
      <c r="B61" s="5">
        <f>B47</f>
        <v>28357.015800000005</v>
      </c>
    </row>
    <row r="62" spans="1:2" x14ac:dyDescent="0.3">
      <c r="A62" s="6" t="s">
        <v>50</v>
      </c>
      <c r="B62" s="7">
        <f>B60+B61</f>
        <v>3455481.8658000021</v>
      </c>
    </row>
    <row r="63" spans="1:2" x14ac:dyDescent="0.3">
      <c r="A63" s="4" t="s">
        <v>28</v>
      </c>
      <c r="B63" s="5">
        <f>B4</f>
        <v>3459299.9800000018</v>
      </c>
    </row>
    <row r="64" spans="1:2" x14ac:dyDescent="0.3">
      <c r="A64" s="6" t="s">
        <v>51</v>
      </c>
      <c r="B64" s="7">
        <f>B63-B62</f>
        <v>3818.1141999997199</v>
      </c>
    </row>
    <row r="65" spans="1:2" x14ac:dyDescent="0.3">
      <c r="A65" s="4" t="s">
        <v>52</v>
      </c>
      <c r="B65" s="5">
        <f>-B44</f>
        <v>3818.4500000000003</v>
      </c>
    </row>
    <row r="66" spans="1:2" x14ac:dyDescent="0.3">
      <c r="A66" s="4" t="s">
        <v>53</v>
      </c>
      <c r="B66" s="5">
        <f>-B45</f>
        <v>-0.3357</v>
      </c>
    </row>
    <row r="67" spans="1:2" hidden="1" x14ac:dyDescent="0.3">
      <c r="A67" s="8" t="s">
        <v>9</v>
      </c>
      <c r="B67" s="9">
        <f>ROUND(B64-B65-B66,2)</f>
        <v>0</v>
      </c>
    </row>
    <row r="69" spans="1:2" x14ac:dyDescent="0.3">
      <c r="A69" s="2"/>
    </row>
    <row r="70" spans="1:2" x14ac:dyDescent="0.3">
      <c r="A70" s="2"/>
    </row>
    <row r="71" spans="1:2" x14ac:dyDescent="0.3">
      <c r="A71" s="2"/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3"/>
  <sheetViews>
    <sheetView showGridLines="0" zoomScale="55" zoomScaleNormal="55" workbookViewId="0">
      <pane xSplit="7" ySplit="3" topLeftCell="H22" activePane="bottomRight" state="frozen"/>
      <selection pane="topRight" activeCell="H1" sqref="H1"/>
      <selection pane="bottomLeft" activeCell="A5" sqref="A5"/>
      <selection pane="bottomRight" activeCell="K65" sqref="K65"/>
    </sheetView>
  </sheetViews>
  <sheetFormatPr defaultColWidth="8.6640625" defaultRowHeight="14.4" x14ac:dyDescent="0.3"/>
  <cols>
    <col min="1" max="1" width="13" customWidth="1"/>
    <col min="2" max="2" width="7" customWidth="1"/>
    <col min="3" max="3" width="10" customWidth="1"/>
    <col min="4" max="4" width="11" customWidth="1"/>
    <col min="5" max="5" width="19" customWidth="1"/>
    <col min="6" max="6" width="30" customWidth="1"/>
    <col min="7" max="7" width="10" customWidth="1"/>
    <col min="8" max="8" width="7" customWidth="1"/>
    <col min="9" max="9" width="9" customWidth="1"/>
    <col min="10" max="10" width="17" customWidth="1"/>
    <col min="11" max="13" width="16.44140625" customWidth="1"/>
    <col min="14" max="14" width="12" customWidth="1"/>
    <col min="15" max="16" width="8" customWidth="1"/>
    <col min="17" max="17" width="24" customWidth="1"/>
    <col min="18" max="20" width="13" customWidth="1"/>
    <col min="21" max="21" width="16.44140625" customWidth="1"/>
    <col min="22" max="22" width="16.88671875" customWidth="1"/>
  </cols>
  <sheetData>
    <row r="1" spans="1:22" ht="17.399999999999999" x14ac:dyDescent="0.3">
      <c r="A1" s="1" t="s">
        <v>54</v>
      </c>
    </row>
    <row r="3" spans="1:22" ht="30" customHeight="1" x14ac:dyDescent="0.3">
      <c r="A3" s="14" t="s">
        <v>55</v>
      </c>
      <c r="B3" s="14" t="s">
        <v>56</v>
      </c>
      <c r="C3" s="14" t="s">
        <v>57</v>
      </c>
      <c r="D3" s="14" t="s">
        <v>58</v>
      </c>
      <c r="E3" s="14" t="s">
        <v>59</v>
      </c>
      <c r="F3" s="14" t="s">
        <v>60</v>
      </c>
      <c r="G3" s="14" t="s">
        <v>61</v>
      </c>
      <c r="H3" s="14" t="s">
        <v>62</v>
      </c>
      <c r="I3" s="14" t="s">
        <v>63</v>
      </c>
      <c r="J3" s="14" t="s">
        <v>64</v>
      </c>
      <c r="K3" s="14" t="s">
        <v>65</v>
      </c>
      <c r="L3" s="14" t="s">
        <v>66</v>
      </c>
      <c r="M3" s="14" t="s">
        <v>67</v>
      </c>
      <c r="N3" s="14" t="s">
        <v>68</v>
      </c>
      <c r="O3" s="14" t="s">
        <v>69</v>
      </c>
      <c r="P3" s="14" t="s">
        <v>70</v>
      </c>
      <c r="Q3" s="14" t="s">
        <v>71</v>
      </c>
      <c r="R3" s="14" t="s">
        <v>72</v>
      </c>
      <c r="S3" s="14" t="s">
        <v>73</v>
      </c>
      <c r="T3" s="14" t="s">
        <v>74</v>
      </c>
      <c r="U3" s="14" t="s">
        <v>75</v>
      </c>
      <c r="V3" s="14" t="s">
        <v>76</v>
      </c>
    </row>
    <row r="4" spans="1:22" s="36" customFormat="1" x14ac:dyDescent="0.3">
      <c r="A4" s="33" t="str">
        <f t="shared" ref="A4:A35" si="0">O4&amp;"|"&amp;G4</f>
        <v>ISS|5238</v>
      </c>
      <c r="B4" s="33" t="s">
        <v>77</v>
      </c>
      <c r="C4" s="33" t="s">
        <v>78</v>
      </c>
      <c r="D4" s="33" t="s">
        <v>79</v>
      </c>
      <c r="E4" s="33" t="s">
        <v>80</v>
      </c>
      <c r="F4" s="33" t="s">
        <v>81</v>
      </c>
      <c r="G4" s="33" t="s">
        <v>82</v>
      </c>
      <c r="H4" s="33" t="s">
        <v>83</v>
      </c>
      <c r="I4" s="33" t="s">
        <v>84</v>
      </c>
      <c r="J4" s="33" t="s">
        <v>85</v>
      </c>
      <c r="K4" s="34">
        <v>46244</v>
      </c>
      <c r="L4" s="34">
        <v>46274</v>
      </c>
      <c r="M4" s="34">
        <v>46274</v>
      </c>
      <c r="N4" s="33" t="s">
        <v>86</v>
      </c>
      <c r="O4" s="33" t="s">
        <v>87</v>
      </c>
      <c r="P4" s="33" t="s">
        <v>88</v>
      </c>
      <c r="Q4" s="33" t="s">
        <v>89</v>
      </c>
      <c r="R4" s="35">
        <v>63.9</v>
      </c>
      <c r="S4" s="35">
        <v>0</v>
      </c>
      <c r="T4" s="35">
        <v>63.9</v>
      </c>
      <c r="U4" s="33" t="s">
        <v>90</v>
      </c>
      <c r="V4" s="33" t="str">
        <f t="shared" ref="V4:V35" si="1">IF(ABS(R4+S4-T4)&lt;0.0001,"OK","VERIFICAR")</f>
        <v>OK</v>
      </c>
    </row>
    <row r="5" spans="1:22" s="36" customFormat="1" x14ac:dyDescent="0.3">
      <c r="A5" s="33" t="str">
        <f t="shared" si="0"/>
        <v>ISS|1140</v>
      </c>
      <c r="B5" s="33" t="s">
        <v>91</v>
      </c>
      <c r="C5" s="33" t="s">
        <v>92</v>
      </c>
      <c r="D5" s="33" t="s">
        <v>93</v>
      </c>
      <c r="E5" s="33" t="s">
        <v>94</v>
      </c>
      <c r="F5" s="33" t="s">
        <v>95</v>
      </c>
      <c r="G5" s="33" t="s">
        <v>96</v>
      </c>
      <c r="H5" s="33" t="s">
        <v>97</v>
      </c>
      <c r="I5" s="33" t="s">
        <v>98</v>
      </c>
      <c r="J5" s="33" t="s">
        <v>99</v>
      </c>
      <c r="K5" s="34">
        <v>46252</v>
      </c>
      <c r="L5" s="34">
        <v>46274</v>
      </c>
      <c r="M5" s="34">
        <v>46274</v>
      </c>
      <c r="N5" s="33" t="s">
        <v>86</v>
      </c>
      <c r="O5" s="33" t="s">
        <v>87</v>
      </c>
      <c r="P5" s="33" t="s">
        <v>88</v>
      </c>
      <c r="Q5" s="33" t="s">
        <v>89</v>
      </c>
      <c r="R5" s="35">
        <v>95.974000000000004</v>
      </c>
      <c r="S5" s="35">
        <v>0</v>
      </c>
      <c r="T5" s="35">
        <v>95.974000000000004</v>
      </c>
      <c r="U5" s="33" t="s">
        <v>100</v>
      </c>
      <c r="V5" s="33" t="str">
        <f t="shared" si="1"/>
        <v>OK</v>
      </c>
    </row>
    <row r="6" spans="1:22" s="36" customFormat="1" x14ac:dyDescent="0.3">
      <c r="A6" s="33" t="str">
        <f t="shared" si="0"/>
        <v>IR|170</v>
      </c>
      <c r="B6" s="33" t="s">
        <v>101</v>
      </c>
      <c r="C6" s="33" t="s">
        <v>102</v>
      </c>
      <c r="D6" s="33" t="s">
        <v>103</v>
      </c>
      <c r="E6" s="33" t="s">
        <v>104</v>
      </c>
      <c r="F6" s="33" t="s">
        <v>105</v>
      </c>
      <c r="G6" s="33" t="s">
        <v>106</v>
      </c>
      <c r="H6" s="33" t="s">
        <v>107</v>
      </c>
      <c r="I6" s="33" t="s">
        <v>108</v>
      </c>
      <c r="J6" s="33" t="s">
        <v>109</v>
      </c>
      <c r="K6" s="34">
        <v>46237</v>
      </c>
      <c r="L6" s="34">
        <v>46283</v>
      </c>
      <c r="M6" s="34">
        <v>46283</v>
      </c>
      <c r="N6" s="33" t="s">
        <v>110</v>
      </c>
      <c r="O6" s="33" t="s">
        <v>111</v>
      </c>
      <c r="P6" s="33" t="s">
        <v>112</v>
      </c>
      <c r="Q6" s="33" t="s">
        <v>113</v>
      </c>
      <c r="R6" s="35">
        <v>300</v>
      </c>
      <c r="S6" s="35">
        <v>0</v>
      </c>
      <c r="T6" s="35">
        <v>300</v>
      </c>
      <c r="U6" s="33" t="s">
        <v>100</v>
      </c>
      <c r="V6" s="33" t="str">
        <f t="shared" si="1"/>
        <v>OK</v>
      </c>
    </row>
    <row r="7" spans="1:22" s="36" customFormat="1" x14ac:dyDescent="0.3">
      <c r="A7" s="33" t="str">
        <f t="shared" si="0"/>
        <v>ISS|10498</v>
      </c>
      <c r="B7" s="33" t="s">
        <v>77</v>
      </c>
      <c r="C7" s="33" t="s">
        <v>114</v>
      </c>
      <c r="D7" s="33" t="s">
        <v>115</v>
      </c>
      <c r="E7" s="33" t="s">
        <v>116</v>
      </c>
      <c r="F7" s="33" t="s">
        <v>117</v>
      </c>
      <c r="G7" s="33" t="s">
        <v>118</v>
      </c>
      <c r="H7" s="33" t="s">
        <v>119</v>
      </c>
      <c r="I7" s="33" t="s">
        <v>120</v>
      </c>
      <c r="J7" s="33" t="s">
        <v>121</v>
      </c>
      <c r="K7" s="34">
        <v>46258</v>
      </c>
      <c r="L7" s="34">
        <v>46274</v>
      </c>
      <c r="M7" s="34">
        <v>46274</v>
      </c>
      <c r="N7" s="33" t="s">
        <v>110</v>
      </c>
      <c r="O7" s="33" t="s">
        <v>87</v>
      </c>
      <c r="P7" s="33" t="s">
        <v>122</v>
      </c>
      <c r="Q7" s="33" t="s">
        <v>123</v>
      </c>
      <c r="R7" s="35">
        <v>227.06</v>
      </c>
      <c r="S7" s="35">
        <v>0</v>
      </c>
      <c r="T7" s="35">
        <v>227.06</v>
      </c>
      <c r="U7" s="33" t="s">
        <v>100</v>
      </c>
      <c r="V7" s="33" t="str">
        <f t="shared" si="1"/>
        <v>OK</v>
      </c>
    </row>
    <row r="8" spans="1:22" s="36" customFormat="1" x14ac:dyDescent="0.3">
      <c r="A8" s="33" t="str">
        <f t="shared" si="0"/>
        <v>ISS|5238</v>
      </c>
      <c r="B8" s="33" t="s">
        <v>124</v>
      </c>
      <c r="C8" s="33" t="s">
        <v>125</v>
      </c>
      <c r="D8" s="33" t="s">
        <v>126</v>
      </c>
      <c r="E8" s="33" t="s">
        <v>127</v>
      </c>
      <c r="F8" s="33" t="s">
        <v>128</v>
      </c>
      <c r="G8" s="33" t="s">
        <v>82</v>
      </c>
      <c r="H8" s="33" t="s">
        <v>83</v>
      </c>
      <c r="I8" s="33" t="s">
        <v>84</v>
      </c>
      <c r="J8" s="33" t="s">
        <v>85</v>
      </c>
      <c r="K8" s="34">
        <v>46244</v>
      </c>
      <c r="L8" s="34">
        <v>46274</v>
      </c>
      <c r="M8" s="34">
        <v>46274</v>
      </c>
      <c r="N8" s="33" t="s">
        <v>86</v>
      </c>
      <c r="O8" s="33" t="s">
        <v>87</v>
      </c>
      <c r="P8" s="33" t="s">
        <v>88</v>
      </c>
      <c r="Q8" s="33" t="s">
        <v>89</v>
      </c>
      <c r="R8" s="35">
        <v>125</v>
      </c>
      <c r="S8" s="35">
        <v>0</v>
      </c>
      <c r="T8" s="35">
        <v>125</v>
      </c>
      <c r="U8" s="33" t="s">
        <v>90</v>
      </c>
      <c r="V8" s="33" t="str">
        <f t="shared" si="1"/>
        <v>OK</v>
      </c>
    </row>
    <row r="9" spans="1:22" s="36" customFormat="1" x14ac:dyDescent="0.3">
      <c r="A9" s="33" t="str">
        <f t="shared" si="0"/>
        <v>ISS|5238</v>
      </c>
      <c r="B9" s="33" t="s">
        <v>124</v>
      </c>
      <c r="C9" s="33" t="s">
        <v>125</v>
      </c>
      <c r="D9" s="33" t="s">
        <v>126</v>
      </c>
      <c r="E9" s="33" t="s">
        <v>129</v>
      </c>
      <c r="F9" s="33" t="s">
        <v>130</v>
      </c>
      <c r="G9" s="33" t="s">
        <v>82</v>
      </c>
      <c r="H9" s="33" t="s">
        <v>83</v>
      </c>
      <c r="I9" s="33" t="s">
        <v>84</v>
      </c>
      <c r="J9" s="33" t="s">
        <v>85</v>
      </c>
      <c r="K9" s="34">
        <v>46244</v>
      </c>
      <c r="L9" s="34">
        <v>46274</v>
      </c>
      <c r="M9" s="34">
        <v>46274</v>
      </c>
      <c r="N9" s="33" t="s">
        <v>86</v>
      </c>
      <c r="O9" s="33" t="s">
        <v>87</v>
      </c>
      <c r="P9" s="33" t="s">
        <v>88</v>
      </c>
      <c r="Q9" s="33" t="s">
        <v>89</v>
      </c>
      <c r="R9" s="35">
        <v>10</v>
      </c>
      <c r="S9" s="35">
        <v>0</v>
      </c>
      <c r="T9" s="35">
        <v>10</v>
      </c>
      <c r="U9" s="33" t="s">
        <v>90</v>
      </c>
      <c r="V9" s="33" t="str">
        <f t="shared" si="1"/>
        <v>OK</v>
      </c>
    </row>
    <row r="10" spans="1:22" s="36" customFormat="1" x14ac:dyDescent="0.3">
      <c r="A10" s="33" t="str">
        <f t="shared" si="0"/>
        <v>ISS|1140</v>
      </c>
      <c r="B10" s="33" t="s">
        <v>91</v>
      </c>
      <c r="C10" s="33" t="s">
        <v>131</v>
      </c>
      <c r="D10" s="33" t="s">
        <v>132</v>
      </c>
      <c r="E10" s="33" t="s">
        <v>133</v>
      </c>
      <c r="F10" s="33" t="s">
        <v>134</v>
      </c>
      <c r="G10" s="33" t="s">
        <v>96</v>
      </c>
      <c r="H10" s="33" t="s">
        <v>97</v>
      </c>
      <c r="I10" s="33" t="s">
        <v>98</v>
      </c>
      <c r="J10" s="33" t="s">
        <v>99</v>
      </c>
      <c r="K10" s="34">
        <v>46252</v>
      </c>
      <c r="L10" s="34">
        <v>46274</v>
      </c>
      <c r="M10" s="34">
        <v>46274</v>
      </c>
      <c r="N10" s="33" t="s">
        <v>86</v>
      </c>
      <c r="O10" s="33" t="s">
        <v>87</v>
      </c>
      <c r="P10" s="33" t="s">
        <v>88</v>
      </c>
      <c r="Q10" s="33" t="s">
        <v>89</v>
      </c>
      <c r="R10" s="35">
        <v>629.99980000000005</v>
      </c>
      <c r="S10" s="35">
        <v>0</v>
      </c>
      <c r="T10" s="35">
        <v>629.99980000000005</v>
      </c>
      <c r="U10" s="33" t="s">
        <v>100</v>
      </c>
      <c r="V10" s="33" t="str">
        <f t="shared" si="1"/>
        <v>OK</v>
      </c>
    </row>
    <row r="11" spans="1:22" s="36" customFormat="1" x14ac:dyDescent="0.3">
      <c r="A11" s="33" t="str">
        <f t="shared" si="0"/>
        <v>ISS|1140</v>
      </c>
      <c r="B11" s="33" t="s">
        <v>91</v>
      </c>
      <c r="C11" s="33" t="s">
        <v>131</v>
      </c>
      <c r="D11" s="33" t="s">
        <v>132</v>
      </c>
      <c r="E11" s="33" t="s">
        <v>135</v>
      </c>
      <c r="F11" s="33" t="s">
        <v>134</v>
      </c>
      <c r="G11" s="33" t="s">
        <v>96</v>
      </c>
      <c r="H11" s="33" t="s">
        <v>97</v>
      </c>
      <c r="I11" s="33" t="s">
        <v>98</v>
      </c>
      <c r="J11" s="33" t="s">
        <v>99</v>
      </c>
      <c r="K11" s="34">
        <v>46252</v>
      </c>
      <c r="L11" s="34">
        <v>46274</v>
      </c>
      <c r="M11" s="34">
        <v>46274</v>
      </c>
      <c r="N11" s="33" t="s">
        <v>86</v>
      </c>
      <c r="O11" s="33" t="s">
        <v>87</v>
      </c>
      <c r="P11" s="33" t="s">
        <v>88</v>
      </c>
      <c r="Q11" s="33" t="s">
        <v>89</v>
      </c>
      <c r="R11" s="35">
        <v>507.00779999999997</v>
      </c>
      <c r="S11" s="35">
        <v>0</v>
      </c>
      <c r="T11" s="35">
        <v>507.00779999999997</v>
      </c>
      <c r="U11" s="33" t="s">
        <v>100</v>
      </c>
      <c r="V11" s="33" t="str">
        <f t="shared" si="1"/>
        <v>OK</v>
      </c>
    </row>
    <row r="12" spans="1:22" s="36" customFormat="1" x14ac:dyDescent="0.3">
      <c r="A12" s="33" t="str">
        <f t="shared" si="0"/>
        <v>ISS|1140</v>
      </c>
      <c r="B12" s="33" t="s">
        <v>91</v>
      </c>
      <c r="C12" s="33" t="s">
        <v>136</v>
      </c>
      <c r="D12" s="33" t="s">
        <v>137</v>
      </c>
      <c r="E12" s="33" t="s">
        <v>138</v>
      </c>
      <c r="F12" s="33" t="s">
        <v>139</v>
      </c>
      <c r="G12" s="33" t="s">
        <v>96</v>
      </c>
      <c r="H12" s="33" t="s">
        <v>97</v>
      </c>
      <c r="I12" s="33" t="s">
        <v>98</v>
      </c>
      <c r="J12" s="33" t="s">
        <v>99</v>
      </c>
      <c r="K12" s="34">
        <v>46252</v>
      </c>
      <c r="L12" s="34">
        <v>46274</v>
      </c>
      <c r="M12" s="34">
        <v>46274</v>
      </c>
      <c r="N12" s="33" t="s">
        <v>86</v>
      </c>
      <c r="O12" s="33" t="s">
        <v>87</v>
      </c>
      <c r="P12" s="33" t="s">
        <v>88</v>
      </c>
      <c r="Q12" s="33" t="s">
        <v>89</v>
      </c>
      <c r="R12" s="35">
        <v>371.24990000000003</v>
      </c>
      <c r="S12" s="35">
        <v>0</v>
      </c>
      <c r="T12" s="35">
        <v>371.24990000000003</v>
      </c>
      <c r="U12" s="33" t="s">
        <v>100</v>
      </c>
      <c r="V12" s="33" t="str">
        <f t="shared" si="1"/>
        <v>OK</v>
      </c>
    </row>
    <row r="13" spans="1:22" s="36" customFormat="1" x14ac:dyDescent="0.3">
      <c r="A13" s="33" t="str">
        <f t="shared" si="0"/>
        <v>PIS|7662</v>
      </c>
      <c r="B13" s="33" t="s">
        <v>140</v>
      </c>
      <c r="C13" s="33" t="s">
        <v>141</v>
      </c>
      <c r="D13" s="33" t="s">
        <v>142</v>
      </c>
      <c r="E13" s="33" t="s">
        <v>143</v>
      </c>
      <c r="F13" s="33" t="s">
        <v>144</v>
      </c>
      <c r="G13" s="33" t="s">
        <v>145</v>
      </c>
      <c r="H13" s="33" t="s">
        <v>146</v>
      </c>
      <c r="I13" s="33" t="s">
        <v>147</v>
      </c>
      <c r="J13" s="33" t="s">
        <v>148</v>
      </c>
      <c r="K13" s="34">
        <v>46253</v>
      </c>
      <c r="L13" s="34">
        <v>46283</v>
      </c>
      <c r="M13" s="34">
        <v>46283</v>
      </c>
      <c r="N13" s="33" t="s">
        <v>110</v>
      </c>
      <c r="O13" s="33" t="s">
        <v>149</v>
      </c>
      <c r="P13" s="33" t="s">
        <v>150</v>
      </c>
      <c r="Q13" s="33" t="s">
        <v>151</v>
      </c>
      <c r="R13" s="35">
        <v>4.68</v>
      </c>
      <c r="S13" s="35">
        <v>0</v>
      </c>
      <c r="T13" s="35">
        <v>4.68</v>
      </c>
      <c r="U13" s="33" t="s">
        <v>100</v>
      </c>
      <c r="V13" s="33" t="str">
        <f t="shared" si="1"/>
        <v>OK</v>
      </c>
    </row>
    <row r="14" spans="1:22" s="36" customFormat="1" x14ac:dyDescent="0.3">
      <c r="A14" s="33" t="str">
        <f t="shared" si="0"/>
        <v>ISS|273</v>
      </c>
      <c r="B14" s="33" t="s">
        <v>152</v>
      </c>
      <c r="C14" s="33" t="s">
        <v>153</v>
      </c>
      <c r="D14" s="33" t="s">
        <v>154</v>
      </c>
      <c r="E14" s="33" t="s">
        <v>155</v>
      </c>
      <c r="F14" s="33" t="s">
        <v>156</v>
      </c>
      <c r="G14" s="33" t="s">
        <v>157</v>
      </c>
      <c r="H14" s="33" t="s">
        <v>158</v>
      </c>
      <c r="I14" s="33" t="s">
        <v>159</v>
      </c>
      <c r="J14" s="33" t="s">
        <v>160</v>
      </c>
      <c r="K14" s="34">
        <v>46261</v>
      </c>
      <c r="L14" s="34">
        <v>46274</v>
      </c>
      <c r="M14" s="34">
        <v>46274</v>
      </c>
      <c r="N14" s="33" t="s">
        <v>110</v>
      </c>
      <c r="O14" s="33" t="s">
        <v>87</v>
      </c>
      <c r="P14" s="33" t="s">
        <v>122</v>
      </c>
      <c r="Q14" s="33" t="s">
        <v>123</v>
      </c>
      <c r="R14" s="35">
        <v>2.3494000000000002</v>
      </c>
      <c r="S14" s="35">
        <v>0</v>
      </c>
      <c r="T14" s="35">
        <v>2.3494000000000002</v>
      </c>
      <c r="U14" s="33" t="s">
        <v>100</v>
      </c>
      <c r="V14" s="33" t="str">
        <f t="shared" si="1"/>
        <v>OK</v>
      </c>
    </row>
    <row r="15" spans="1:22" s="36" customFormat="1" x14ac:dyDescent="0.3">
      <c r="A15" s="33" t="str">
        <f t="shared" si="0"/>
        <v>ISS|273</v>
      </c>
      <c r="B15" s="33" t="s">
        <v>152</v>
      </c>
      <c r="C15" s="33" t="s">
        <v>161</v>
      </c>
      <c r="D15" s="33" t="s">
        <v>162</v>
      </c>
      <c r="E15" s="33" t="s">
        <v>163</v>
      </c>
      <c r="F15" s="33" t="s">
        <v>164</v>
      </c>
      <c r="G15" s="33" t="s">
        <v>157</v>
      </c>
      <c r="H15" s="33" t="s">
        <v>158</v>
      </c>
      <c r="I15" s="33" t="s">
        <v>159</v>
      </c>
      <c r="J15" s="33" t="s">
        <v>160</v>
      </c>
      <c r="K15" s="34">
        <v>46261</v>
      </c>
      <c r="L15" s="34">
        <v>46274</v>
      </c>
      <c r="M15" s="34">
        <v>46274</v>
      </c>
      <c r="N15" s="33" t="s">
        <v>110</v>
      </c>
      <c r="O15" s="33" t="s">
        <v>87</v>
      </c>
      <c r="P15" s="33" t="s">
        <v>122</v>
      </c>
      <c r="Q15" s="33" t="s">
        <v>123</v>
      </c>
      <c r="R15" s="35">
        <v>318.84309999999999</v>
      </c>
      <c r="S15" s="35">
        <v>0</v>
      </c>
      <c r="T15" s="35">
        <v>318.84309999999999</v>
      </c>
      <c r="U15" s="33" t="s">
        <v>100</v>
      </c>
      <c r="V15" s="33" t="str">
        <f t="shared" si="1"/>
        <v>OK</v>
      </c>
    </row>
    <row r="16" spans="1:22" s="36" customFormat="1" x14ac:dyDescent="0.3">
      <c r="A16" s="33" t="str">
        <f t="shared" si="0"/>
        <v>IR|23391</v>
      </c>
      <c r="B16" s="33" t="s">
        <v>165</v>
      </c>
      <c r="C16" s="33" t="s">
        <v>166</v>
      </c>
      <c r="D16" s="33" t="s">
        <v>167</v>
      </c>
      <c r="E16" s="33" t="s">
        <v>168</v>
      </c>
      <c r="F16" s="33" t="s">
        <v>169</v>
      </c>
      <c r="G16" s="33" t="s">
        <v>170</v>
      </c>
      <c r="H16" s="33" t="s">
        <v>171</v>
      </c>
      <c r="I16" s="33" t="s">
        <v>172</v>
      </c>
      <c r="J16" s="33" t="s">
        <v>173</v>
      </c>
      <c r="K16" s="34">
        <v>46241</v>
      </c>
      <c r="L16" s="34">
        <v>46283</v>
      </c>
      <c r="M16" s="34">
        <v>46283</v>
      </c>
      <c r="N16" s="33" t="s">
        <v>110</v>
      </c>
      <c r="O16" s="33" t="s">
        <v>111</v>
      </c>
      <c r="P16" s="33" t="s">
        <v>112</v>
      </c>
      <c r="Q16" s="33" t="s">
        <v>113</v>
      </c>
      <c r="R16" s="35">
        <v>32.33</v>
      </c>
      <c r="S16" s="35">
        <v>0</v>
      </c>
      <c r="T16" s="35">
        <v>32.33</v>
      </c>
      <c r="U16" s="33" t="s">
        <v>100</v>
      </c>
      <c r="V16" s="33" t="str">
        <f t="shared" si="1"/>
        <v>OK</v>
      </c>
    </row>
    <row r="17" spans="1:22" s="36" customFormat="1" x14ac:dyDescent="0.3">
      <c r="A17" s="33" t="str">
        <f t="shared" si="0"/>
        <v>ISS|1088</v>
      </c>
      <c r="B17" s="33" t="s">
        <v>174</v>
      </c>
      <c r="C17" s="33" t="s">
        <v>175</v>
      </c>
      <c r="D17" s="33" t="s">
        <v>176</v>
      </c>
      <c r="E17" s="33" t="s">
        <v>177</v>
      </c>
      <c r="F17" s="33" t="s">
        <v>178</v>
      </c>
      <c r="G17" s="33" t="s">
        <v>179</v>
      </c>
      <c r="H17" s="33" t="s">
        <v>180</v>
      </c>
      <c r="I17" s="33" t="s">
        <v>181</v>
      </c>
      <c r="J17" s="33" t="s">
        <v>182</v>
      </c>
      <c r="K17" s="34">
        <v>46258</v>
      </c>
      <c r="L17" s="34">
        <v>46274</v>
      </c>
      <c r="M17" s="34">
        <v>46274</v>
      </c>
      <c r="N17" s="33" t="s">
        <v>110</v>
      </c>
      <c r="O17" s="33" t="s">
        <v>87</v>
      </c>
      <c r="P17" s="33" t="s">
        <v>122</v>
      </c>
      <c r="Q17" s="33" t="s">
        <v>123</v>
      </c>
      <c r="R17" s="35">
        <v>42.27</v>
      </c>
      <c r="S17" s="35">
        <v>0</v>
      </c>
      <c r="T17" s="35">
        <v>42.27</v>
      </c>
      <c r="U17" s="33" t="s">
        <v>100</v>
      </c>
      <c r="V17" s="33" t="str">
        <f t="shared" si="1"/>
        <v>OK</v>
      </c>
    </row>
    <row r="18" spans="1:22" s="36" customFormat="1" x14ac:dyDescent="0.3">
      <c r="A18" s="33" t="str">
        <f t="shared" si="0"/>
        <v>ISS|37444</v>
      </c>
      <c r="B18" s="33" t="s">
        <v>183</v>
      </c>
      <c r="C18" s="33" t="s">
        <v>184</v>
      </c>
      <c r="D18" s="33" t="s">
        <v>185</v>
      </c>
      <c r="E18" s="33" t="s">
        <v>186</v>
      </c>
      <c r="F18" s="33" t="s">
        <v>187</v>
      </c>
      <c r="G18" s="33" t="s">
        <v>188</v>
      </c>
      <c r="H18" s="33" t="s">
        <v>189</v>
      </c>
      <c r="I18" s="33" t="s">
        <v>190</v>
      </c>
      <c r="J18" s="33" t="s">
        <v>191</v>
      </c>
      <c r="K18" s="34">
        <v>46244</v>
      </c>
      <c r="L18" s="34">
        <v>46274</v>
      </c>
      <c r="M18" s="34">
        <v>46274</v>
      </c>
      <c r="N18" s="33" t="s">
        <v>110</v>
      </c>
      <c r="O18" s="33" t="s">
        <v>87</v>
      </c>
      <c r="P18" s="33" t="s">
        <v>122</v>
      </c>
      <c r="Q18" s="33" t="s">
        <v>123</v>
      </c>
      <c r="R18" s="35">
        <v>75</v>
      </c>
      <c r="S18" s="35">
        <v>0</v>
      </c>
      <c r="T18" s="35">
        <v>75</v>
      </c>
      <c r="U18" s="33" t="s">
        <v>100</v>
      </c>
      <c r="V18" s="33" t="str">
        <f t="shared" si="1"/>
        <v>OK</v>
      </c>
    </row>
    <row r="19" spans="1:22" s="36" customFormat="1" x14ac:dyDescent="0.3">
      <c r="A19" s="33" t="str">
        <f t="shared" si="0"/>
        <v>COFINS|170</v>
      </c>
      <c r="B19" s="33" t="s">
        <v>101</v>
      </c>
      <c r="C19" s="33" t="s">
        <v>102</v>
      </c>
      <c r="D19" s="33" t="s">
        <v>103</v>
      </c>
      <c r="E19" s="33" t="s">
        <v>104</v>
      </c>
      <c r="F19" s="33" t="s">
        <v>105</v>
      </c>
      <c r="G19" s="33" t="s">
        <v>106</v>
      </c>
      <c r="H19" s="33" t="s">
        <v>107</v>
      </c>
      <c r="I19" s="33" t="s">
        <v>108</v>
      </c>
      <c r="J19" s="33" t="s">
        <v>109</v>
      </c>
      <c r="K19" s="34">
        <v>46237</v>
      </c>
      <c r="L19" s="34">
        <v>46283</v>
      </c>
      <c r="M19" s="34">
        <v>46283</v>
      </c>
      <c r="N19" s="33" t="s">
        <v>110</v>
      </c>
      <c r="O19" s="33" t="s">
        <v>192</v>
      </c>
      <c r="P19" s="33" t="s">
        <v>193</v>
      </c>
      <c r="Q19" s="33" t="s">
        <v>151</v>
      </c>
      <c r="R19" s="35">
        <v>600</v>
      </c>
      <c r="S19" s="35">
        <v>0</v>
      </c>
      <c r="T19" s="35">
        <v>600</v>
      </c>
      <c r="U19" s="33" t="s">
        <v>100</v>
      </c>
      <c r="V19" s="33" t="str">
        <f t="shared" si="1"/>
        <v>OK</v>
      </c>
    </row>
    <row r="20" spans="1:22" s="36" customFormat="1" x14ac:dyDescent="0.3">
      <c r="A20" s="33" t="str">
        <f t="shared" si="0"/>
        <v>ISS|1140</v>
      </c>
      <c r="B20" s="33" t="s">
        <v>91</v>
      </c>
      <c r="C20" s="33" t="s">
        <v>136</v>
      </c>
      <c r="D20" s="33" t="s">
        <v>137</v>
      </c>
      <c r="E20" s="33" t="s">
        <v>194</v>
      </c>
      <c r="F20" s="33" t="s">
        <v>139</v>
      </c>
      <c r="G20" s="33" t="s">
        <v>96</v>
      </c>
      <c r="H20" s="33" t="s">
        <v>97</v>
      </c>
      <c r="I20" s="33" t="s">
        <v>98</v>
      </c>
      <c r="J20" s="33" t="s">
        <v>99</v>
      </c>
      <c r="K20" s="34">
        <v>46252</v>
      </c>
      <c r="L20" s="34">
        <v>46274</v>
      </c>
      <c r="M20" s="34">
        <v>46274</v>
      </c>
      <c r="N20" s="33" t="s">
        <v>86</v>
      </c>
      <c r="O20" s="33" t="s">
        <v>87</v>
      </c>
      <c r="P20" s="33" t="s">
        <v>88</v>
      </c>
      <c r="Q20" s="33" t="s">
        <v>89</v>
      </c>
      <c r="R20" s="35">
        <v>629.99980000000005</v>
      </c>
      <c r="S20" s="35">
        <v>0</v>
      </c>
      <c r="T20" s="35">
        <v>629.99980000000005</v>
      </c>
      <c r="U20" s="33" t="s">
        <v>100</v>
      </c>
      <c r="V20" s="33" t="str">
        <f t="shared" si="1"/>
        <v>OK</v>
      </c>
    </row>
    <row r="21" spans="1:22" s="36" customFormat="1" x14ac:dyDescent="0.3">
      <c r="A21" s="33" t="str">
        <f t="shared" si="0"/>
        <v>ISS|1140</v>
      </c>
      <c r="B21" s="33" t="s">
        <v>91</v>
      </c>
      <c r="C21" s="33" t="s">
        <v>92</v>
      </c>
      <c r="D21" s="33" t="s">
        <v>93</v>
      </c>
      <c r="E21" s="33" t="s">
        <v>195</v>
      </c>
      <c r="F21" s="33" t="s">
        <v>196</v>
      </c>
      <c r="G21" s="33" t="s">
        <v>96</v>
      </c>
      <c r="H21" s="33" t="s">
        <v>97</v>
      </c>
      <c r="I21" s="33" t="s">
        <v>98</v>
      </c>
      <c r="J21" s="33" t="s">
        <v>99</v>
      </c>
      <c r="K21" s="34">
        <v>46252</v>
      </c>
      <c r="L21" s="34">
        <v>46274</v>
      </c>
      <c r="M21" s="34">
        <v>46274</v>
      </c>
      <c r="N21" s="33" t="s">
        <v>86</v>
      </c>
      <c r="O21" s="33" t="s">
        <v>87</v>
      </c>
      <c r="P21" s="33" t="s">
        <v>88</v>
      </c>
      <c r="Q21" s="33" t="s">
        <v>89</v>
      </c>
      <c r="R21" s="35">
        <v>459.58730000000003</v>
      </c>
      <c r="S21" s="35">
        <v>0</v>
      </c>
      <c r="T21" s="35">
        <v>459.58730000000003</v>
      </c>
      <c r="U21" s="33" t="s">
        <v>100</v>
      </c>
      <c r="V21" s="33" t="str">
        <f t="shared" si="1"/>
        <v>OK</v>
      </c>
    </row>
    <row r="22" spans="1:22" s="36" customFormat="1" x14ac:dyDescent="0.3">
      <c r="A22" s="33" t="str">
        <f t="shared" si="0"/>
        <v>PIS|22853</v>
      </c>
      <c r="B22" s="33" t="s">
        <v>197</v>
      </c>
      <c r="C22" s="33" t="s">
        <v>198</v>
      </c>
      <c r="D22" s="33" t="s">
        <v>199</v>
      </c>
      <c r="E22" s="33" t="s">
        <v>200</v>
      </c>
      <c r="F22" s="33" t="s">
        <v>201</v>
      </c>
      <c r="G22" s="33" t="s">
        <v>202</v>
      </c>
      <c r="H22" s="33" t="s">
        <v>203</v>
      </c>
      <c r="I22" s="33" t="s">
        <v>204</v>
      </c>
      <c r="J22" s="33" t="s">
        <v>205</v>
      </c>
      <c r="K22" s="34">
        <v>46245</v>
      </c>
      <c r="L22" s="34">
        <v>46283</v>
      </c>
      <c r="M22" s="34">
        <v>46283</v>
      </c>
      <c r="N22" s="33" t="s">
        <v>110</v>
      </c>
      <c r="O22" s="33" t="s">
        <v>149</v>
      </c>
      <c r="P22" s="33" t="s">
        <v>150</v>
      </c>
      <c r="Q22" s="33" t="s">
        <v>151</v>
      </c>
      <c r="R22" s="35">
        <v>18.850000000000001</v>
      </c>
      <c r="S22" s="35">
        <v>0</v>
      </c>
      <c r="T22" s="35">
        <v>18.850000000000001</v>
      </c>
      <c r="U22" s="33" t="s">
        <v>100</v>
      </c>
      <c r="V22" s="33" t="str">
        <f t="shared" si="1"/>
        <v>OK</v>
      </c>
    </row>
    <row r="23" spans="1:22" s="36" customFormat="1" x14ac:dyDescent="0.3">
      <c r="A23" s="33" t="str">
        <f t="shared" si="0"/>
        <v>ISS|95948</v>
      </c>
      <c r="B23" s="33" t="s">
        <v>197</v>
      </c>
      <c r="C23" s="33" t="s">
        <v>206</v>
      </c>
      <c r="D23" s="33" t="s">
        <v>207</v>
      </c>
      <c r="E23" s="33" t="s">
        <v>208</v>
      </c>
      <c r="F23" s="33" t="s">
        <v>209</v>
      </c>
      <c r="G23" s="33" t="s">
        <v>210</v>
      </c>
      <c r="H23" s="33" t="s">
        <v>211</v>
      </c>
      <c r="I23" s="33" t="s">
        <v>212</v>
      </c>
      <c r="J23" s="33" t="s">
        <v>213</v>
      </c>
      <c r="K23" s="34">
        <v>46251</v>
      </c>
      <c r="L23" s="34">
        <v>46275</v>
      </c>
      <c r="M23" s="33"/>
      <c r="N23" s="33" t="s">
        <v>110</v>
      </c>
      <c r="O23" s="33" t="s">
        <v>87</v>
      </c>
      <c r="P23" s="33" t="s">
        <v>122</v>
      </c>
      <c r="Q23" s="33" t="s">
        <v>123</v>
      </c>
      <c r="R23" s="35">
        <v>0</v>
      </c>
      <c r="S23" s="35">
        <v>133.13999999999999</v>
      </c>
      <c r="T23" s="35">
        <v>133.13999999999999</v>
      </c>
      <c r="U23" s="33" t="s">
        <v>100</v>
      </c>
      <c r="V23" s="33" t="str">
        <f t="shared" si="1"/>
        <v>OK</v>
      </c>
    </row>
    <row r="24" spans="1:22" s="36" customFormat="1" x14ac:dyDescent="0.3">
      <c r="A24" s="33" t="str">
        <f t="shared" si="0"/>
        <v>CSLL|23391</v>
      </c>
      <c r="B24" s="33" t="s">
        <v>165</v>
      </c>
      <c r="C24" s="33" t="s">
        <v>166</v>
      </c>
      <c r="D24" s="33" t="s">
        <v>167</v>
      </c>
      <c r="E24" s="33" t="s">
        <v>168</v>
      </c>
      <c r="F24" s="33" t="s">
        <v>169</v>
      </c>
      <c r="G24" s="33" t="s">
        <v>170</v>
      </c>
      <c r="H24" s="33" t="s">
        <v>171</v>
      </c>
      <c r="I24" s="33" t="s">
        <v>172</v>
      </c>
      <c r="J24" s="33" t="s">
        <v>173</v>
      </c>
      <c r="K24" s="34">
        <v>46241</v>
      </c>
      <c r="L24" s="34">
        <v>46283</v>
      </c>
      <c r="M24" s="34">
        <v>46283</v>
      </c>
      <c r="N24" s="33" t="s">
        <v>110</v>
      </c>
      <c r="O24" s="33" t="s">
        <v>214</v>
      </c>
      <c r="P24" s="33" t="s">
        <v>215</v>
      </c>
      <c r="Q24" s="33" t="s">
        <v>151</v>
      </c>
      <c r="R24" s="35">
        <v>32.33</v>
      </c>
      <c r="S24" s="35">
        <v>0</v>
      </c>
      <c r="T24" s="35">
        <v>32.33</v>
      </c>
      <c r="U24" s="33" t="s">
        <v>90</v>
      </c>
      <c r="V24" s="33" t="str">
        <f t="shared" si="1"/>
        <v>OK</v>
      </c>
    </row>
    <row r="25" spans="1:22" s="36" customFormat="1" x14ac:dyDescent="0.3">
      <c r="A25" s="33" t="str">
        <f t="shared" si="0"/>
        <v>INSS|500</v>
      </c>
      <c r="B25" s="33" t="s">
        <v>152</v>
      </c>
      <c r="C25" s="33" t="s">
        <v>216</v>
      </c>
      <c r="D25" s="33" t="s">
        <v>217</v>
      </c>
      <c r="E25" s="33" t="s">
        <v>218</v>
      </c>
      <c r="F25" s="33" t="s">
        <v>219</v>
      </c>
      <c r="G25" s="33" t="s">
        <v>220</v>
      </c>
      <c r="H25" s="33" t="s">
        <v>221</v>
      </c>
      <c r="I25" s="33" t="s">
        <v>222</v>
      </c>
      <c r="J25" s="33" t="s">
        <v>223</v>
      </c>
      <c r="K25" s="34">
        <v>46244</v>
      </c>
      <c r="L25" s="34">
        <v>46283</v>
      </c>
      <c r="M25" s="34">
        <v>46283</v>
      </c>
      <c r="N25" s="33" t="s">
        <v>110</v>
      </c>
      <c r="O25" s="33" t="s">
        <v>224</v>
      </c>
      <c r="P25" s="33" t="s">
        <v>225</v>
      </c>
      <c r="Q25" s="33" t="s">
        <v>226</v>
      </c>
      <c r="R25" s="35">
        <v>329</v>
      </c>
      <c r="S25" s="35">
        <v>0</v>
      </c>
      <c r="T25" s="35">
        <v>329</v>
      </c>
      <c r="U25" s="33" t="s">
        <v>100</v>
      </c>
      <c r="V25" s="33" t="str">
        <f t="shared" si="1"/>
        <v>OK</v>
      </c>
    </row>
    <row r="26" spans="1:22" s="36" customFormat="1" x14ac:dyDescent="0.3">
      <c r="A26" s="33" t="str">
        <f t="shared" si="0"/>
        <v>ISS|500</v>
      </c>
      <c r="B26" s="33" t="s">
        <v>152</v>
      </c>
      <c r="C26" s="33" t="s">
        <v>216</v>
      </c>
      <c r="D26" s="33" t="s">
        <v>217</v>
      </c>
      <c r="E26" s="33" t="s">
        <v>218</v>
      </c>
      <c r="F26" s="33" t="s">
        <v>219</v>
      </c>
      <c r="G26" s="33" t="s">
        <v>220</v>
      </c>
      <c r="H26" s="33" t="s">
        <v>221</v>
      </c>
      <c r="I26" s="33" t="s">
        <v>222</v>
      </c>
      <c r="J26" s="33" t="s">
        <v>223</v>
      </c>
      <c r="K26" s="34">
        <v>46244</v>
      </c>
      <c r="L26" s="34">
        <v>46274</v>
      </c>
      <c r="M26" s="34">
        <v>46274</v>
      </c>
      <c r="N26" s="33" t="s">
        <v>110</v>
      </c>
      <c r="O26" s="33" t="s">
        <v>87</v>
      </c>
      <c r="P26" s="33" t="s">
        <v>122</v>
      </c>
      <c r="Q26" s="33" t="s">
        <v>123</v>
      </c>
      <c r="R26" s="35">
        <v>470</v>
      </c>
      <c r="S26" s="35">
        <v>0</v>
      </c>
      <c r="T26" s="35">
        <v>470</v>
      </c>
      <c r="U26" s="33" t="s">
        <v>90</v>
      </c>
      <c r="V26" s="33" t="str">
        <f t="shared" si="1"/>
        <v>OK</v>
      </c>
    </row>
    <row r="27" spans="1:22" s="36" customFormat="1" x14ac:dyDescent="0.3">
      <c r="A27" s="33" t="str">
        <f t="shared" si="0"/>
        <v>INSS|5238</v>
      </c>
      <c r="B27" s="33" t="s">
        <v>77</v>
      </c>
      <c r="C27" s="33" t="s">
        <v>78</v>
      </c>
      <c r="D27" s="33" t="s">
        <v>79</v>
      </c>
      <c r="E27" s="33" t="s">
        <v>80</v>
      </c>
      <c r="F27" s="33" t="s">
        <v>81</v>
      </c>
      <c r="G27" s="33" t="s">
        <v>82</v>
      </c>
      <c r="H27" s="33" t="s">
        <v>83</v>
      </c>
      <c r="I27" s="33" t="s">
        <v>84</v>
      </c>
      <c r="J27" s="33" t="s">
        <v>85</v>
      </c>
      <c r="K27" s="34">
        <v>46244</v>
      </c>
      <c r="L27" s="34">
        <v>46283</v>
      </c>
      <c r="M27" s="34">
        <v>46283</v>
      </c>
      <c r="N27" s="33" t="s">
        <v>86</v>
      </c>
      <c r="O27" s="33" t="s">
        <v>224</v>
      </c>
      <c r="P27" s="33" t="s">
        <v>225</v>
      </c>
      <c r="Q27" s="33" t="s">
        <v>226</v>
      </c>
      <c r="R27" s="35">
        <v>44.73</v>
      </c>
      <c r="S27" s="35">
        <v>0</v>
      </c>
      <c r="T27" s="35">
        <v>44.73</v>
      </c>
      <c r="U27" s="33" t="s">
        <v>100</v>
      </c>
      <c r="V27" s="33" t="str">
        <f t="shared" si="1"/>
        <v>OK</v>
      </c>
    </row>
    <row r="28" spans="1:22" s="36" customFormat="1" x14ac:dyDescent="0.3">
      <c r="A28" s="33" t="str">
        <f t="shared" si="0"/>
        <v>ISS|5238</v>
      </c>
      <c r="B28" s="33" t="s">
        <v>124</v>
      </c>
      <c r="C28" s="33" t="s">
        <v>125</v>
      </c>
      <c r="D28" s="33" t="s">
        <v>126</v>
      </c>
      <c r="E28" s="33" t="s">
        <v>227</v>
      </c>
      <c r="F28" s="33" t="s">
        <v>228</v>
      </c>
      <c r="G28" s="33" t="s">
        <v>82</v>
      </c>
      <c r="H28" s="33" t="s">
        <v>83</v>
      </c>
      <c r="I28" s="33" t="s">
        <v>84</v>
      </c>
      <c r="J28" s="33" t="s">
        <v>85</v>
      </c>
      <c r="K28" s="34">
        <v>46244</v>
      </c>
      <c r="L28" s="34">
        <v>46274</v>
      </c>
      <c r="M28" s="34">
        <v>46274</v>
      </c>
      <c r="N28" s="33" t="s">
        <v>86</v>
      </c>
      <c r="O28" s="33" t="s">
        <v>87</v>
      </c>
      <c r="P28" s="33" t="s">
        <v>88</v>
      </c>
      <c r="Q28" s="33" t="s">
        <v>89</v>
      </c>
      <c r="R28" s="35">
        <v>301.10000000000002</v>
      </c>
      <c r="S28" s="35">
        <v>0</v>
      </c>
      <c r="T28" s="35">
        <v>301.10000000000002</v>
      </c>
      <c r="U28" s="33" t="s">
        <v>90</v>
      </c>
      <c r="V28" s="33" t="str">
        <f t="shared" si="1"/>
        <v>OK</v>
      </c>
    </row>
    <row r="29" spans="1:22" s="36" customFormat="1" x14ac:dyDescent="0.3">
      <c r="A29" s="33" t="str">
        <f t="shared" si="0"/>
        <v>ISS|1140</v>
      </c>
      <c r="B29" s="33" t="s">
        <v>229</v>
      </c>
      <c r="C29" s="33" t="s">
        <v>230</v>
      </c>
      <c r="D29" s="33" t="s">
        <v>231</v>
      </c>
      <c r="E29" s="33" t="s">
        <v>232</v>
      </c>
      <c r="F29" s="33" t="s">
        <v>233</v>
      </c>
      <c r="G29" s="33" t="s">
        <v>96</v>
      </c>
      <c r="H29" s="33" t="s">
        <v>97</v>
      </c>
      <c r="I29" s="33" t="s">
        <v>98</v>
      </c>
      <c r="J29" s="33" t="s">
        <v>99</v>
      </c>
      <c r="K29" s="34">
        <v>46252</v>
      </c>
      <c r="L29" s="34">
        <v>46274</v>
      </c>
      <c r="M29" s="34">
        <v>46274</v>
      </c>
      <c r="N29" s="33" t="s">
        <v>86</v>
      </c>
      <c r="O29" s="33" t="s">
        <v>87</v>
      </c>
      <c r="P29" s="33" t="s">
        <v>88</v>
      </c>
      <c r="Q29" s="33" t="s">
        <v>89</v>
      </c>
      <c r="R29" s="35">
        <v>626.12480000000005</v>
      </c>
      <c r="S29" s="35">
        <v>0</v>
      </c>
      <c r="T29" s="35">
        <v>626.12480000000005</v>
      </c>
      <c r="U29" s="33" t="s">
        <v>100</v>
      </c>
      <c r="V29" s="33" t="str">
        <f t="shared" si="1"/>
        <v>OK</v>
      </c>
    </row>
    <row r="30" spans="1:22" s="36" customFormat="1" x14ac:dyDescent="0.3">
      <c r="A30" s="33" t="str">
        <f t="shared" si="0"/>
        <v>ISS|1140</v>
      </c>
      <c r="B30" s="33" t="s">
        <v>229</v>
      </c>
      <c r="C30" s="33" t="s">
        <v>234</v>
      </c>
      <c r="D30" s="33" t="s">
        <v>235</v>
      </c>
      <c r="E30" s="33" t="s">
        <v>236</v>
      </c>
      <c r="F30" s="33" t="s">
        <v>237</v>
      </c>
      <c r="G30" s="33" t="s">
        <v>96</v>
      </c>
      <c r="H30" s="33" t="s">
        <v>97</v>
      </c>
      <c r="I30" s="33" t="s">
        <v>98</v>
      </c>
      <c r="J30" s="33" t="s">
        <v>99</v>
      </c>
      <c r="K30" s="34">
        <v>46252</v>
      </c>
      <c r="L30" s="34">
        <v>46274</v>
      </c>
      <c r="M30" s="34">
        <v>46274</v>
      </c>
      <c r="N30" s="33" t="s">
        <v>86</v>
      </c>
      <c r="O30" s="33" t="s">
        <v>87</v>
      </c>
      <c r="P30" s="33" t="s">
        <v>88</v>
      </c>
      <c r="Q30" s="33" t="s">
        <v>89</v>
      </c>
      <c r="R30" s="35">
        <v>974.99959999999999</v>
      </c>
      <c r="S30" s="35">
        <v>0</v>
      </c>
      <c r="T30" s="35">
        <v>974.99959999999999</v>
      </c>
      <c r="U30" s="33" t="s">
        <v>100</v>
      </c>
      <c r="V30" s="33" t="str">
        <f t="shared" si="1"/>
        <v>OK</v>
      </c>
    </row>
    <row r="31" spans="1:22" s="36" customFormat="1" x14ac:dyDescent="0.3">
      <c r="A31" s="33" t="str">
        <f t="shared" si="0"/>
        <v>COFINS|22853</v>
      </c>
      <c r="B31" s="33" t="s">
        <v>197</v>
      </c>
      <c r="C31" s="33" t="s">
        <v>198</v>
      </c>
      <c r="D31" s="33" t="s">
        <v>199</v>
      </c>
      <c r="E31" s="33" t="s">
        <v>200</v>
      </c>
      <c r="F31" s="33" t="s">
        <v>201</v>
      </c>
      <c r="G31" s="33" t="s">
        <v>202</v>
      </c>
      <c r="H31" s="33" t="s">
        <v>203</v>
      </c>
      <c r="I31" s="33" t="s">
        <v>204</v>
      </c>
      <c r="J31" s="33" t="s">
        <v>205</v>
      </c>
      <c r="K31" s="34">
        <v>46245</v>
      </c>
      <c r="L31" s="34">
        <v>46283</v>
      </c>
      <c r="M31" s="34">
        <v>46283</v>
      </c>
      <c r="N31" s="33" t="s">
        <v>110</v>
      </c>
      <c r="O31" s="33" t="s">
        <v>192</v>
      </c>
      <c r="P31" s="33" t="s">
        <v>193</v>
      </c>
      <c r="Q31" s="33" t="s">
        <v>151</v>
      </c>
      <c r="R31" s="35">
        <v>87</v>
      </c>
      <c r="S31" s="35">
        <v>0</v>
      </c>
      <c r="T31" s="35">
        <v>87</v>
      </c>
      <c r="U31" s="33" t="s">
        <v>100</v>
      </c>
      <c r="V31" s="33" t="str">
        <f t="shared" si="1"/>
        <v>OK</v>
      </c>
    </row>
    <row r="32" spans="1:22" s="36" customFormat="1" x14ac:dyDescent="0.3">
      <c r="A32" s="33" t="str">
        <f t="shared" si="0"/>
        <v>ISS|273</v>
      </c>
      <c r="B32" s="33" t="s">
        <v>152</v>
      </c>
      <c r="C32" s="33" t="s">
        <v>153</v>
      </c>
      <c r="D32" s="33" t="s">
        <v>154</v>
      </c>
      <c r="E32" s="33" t="s">
        <v>238</v>
      </c>
      <c r="F32" s="33" t="s">
        <v>239</v>
      </c>
      <c r="G32" s="33" t="s">
        <v>157</v>
      </c>
      <c r="H32" s="33" t="s">
        <v>158</v>
      </c>
      <c r="I32" s="33" t="s">
        <v>159</v>
      </c>
      <c r="J32" s="33" t="s">
        <v>160</v>
      </c>
      <c r="K32" s="34">
        <v>46261</v>
      </c>
      <c r="L32" s="34">
        <v>46274</v>
      </c>
      <c r="M32" s="34">
        <v>46274</v>
      </c>
      <c r="N32" s="33" t="s">
        <v>110</v>
      </c>
      <c r="O32" s="33" t="s">
        <v>87</v>
      </c>
      <c r="P32" s="33" t="s">
        <v>122</v>
      </c>
      <c r="Q32" s="33" t="s">
        <v>123</v>
      </c>
      <c r="R32" s="35">
        <v>845.77319999999997</v>
      </c>
      <c r="S32" s="35">
        <v>0</v>
      </c>
      <c r="T32" s="35">
        <v>845.77319999999997</v>
      </c>
      <c r="U32" s="33" t="s">
        <v>100</v>
      </c>
      <c r="V32" s="33" t="str">
        <f t="shared" si="1"/>
        <v>OK</v>
      </c>
    </row>
    <row r="33" spans="1:22" s="36" customFormat="1" x14ac:dyDescent="0.3">
      <c r="A33" s="33" t="str">
        <f t="shared" si="0"/>
        <v>COFINS|23391</v>
      </c>
      <c r="B33" s="33" t="s">
        <v>165</v>
      </c>
      <c r="C33" s="33" t="s">
        <v>166</v>
      </c>
      <c r="D33" s="33" t="s">
        <v>167</v>
      </c>
      <c r="E33" s="33" t="s">
        <v>168</v>
      </c>
      <c r="F33" s="33" t="s">
        <v>169</v>
      </c>
      <c r="G33" s="33" t="s">
        <v>170</v>
      </c>
      <c r="H33" s="33" t="s">
        <v>171</v>
      </c>
      <c r="I33" s="33" t="s">
        <v>172</v>
      </c>
      <c r="J33" s="33" t="s">
        <v>173</v>
      </c>
      <c r="K33" s="34">
        <v>46241</v>
      </c>
      <c r="L33" s="34">
        <v>46283</v>
      </c>
      <c r="M33" s="34">
        <v>46283</v>
      </c>
      <c r="N33" s="33" t="s">
        <v>110</v>
      </c>
      <c r="O33" s="33" t="s">
        <v>192</v>
      </c>
      <c r="P33" s="33" t="s">
        <v>193</v>
      </c>
      <c r="Q33" s="33" t="s">
        <v>151</v>
      </c>
      <c r="R33" s="35">
        <v>96.99</v>
      </c>
      <c r="S33" s="35">
        <v>0</v>
      </c>
      <c r="T33" s="35">
        <v>96.99</v>
      </c>
      <c r="U33" s="33" t="s">
        <v>90</v>
      </c>
      <c r="V33" s="33" t="str">
        <f t="shared" si="1"/>
        <v>OK</v>
      </c>
    </row>
    <row r="34" spans="1:22" s="36" customFormat="1" x14ac:dyDescent="0.3">
      <c r="A34" s="33" t="str">
        <f t="shared" si="0"/>
        <v>ISS|99</v>
      </c>
      <c r="B34" s="33" t="s">
        <v>124</v>
      </c>
      <c r="C34" s="33" t="s">
        <v>125</v>
      </c>
      <c r="D34" s="33" t="s">
        <v>126</v>
      </c>
      <c r="E34" s="33" t="s">
        <v>227</v>
      </c>
      <c r="F34" s="33" t="s">
        <v>228</v>
      </c>
      <c r="G34" s="33" t="s">
        <v>240</v>
      </c>
      <c r="H34" s="33" t="s">
        <v>241</v>
      </c>
      <c r="I34" s="33" t="s">
        <v>242</v>
      </c>
      <c r="J34" s="33" t="s">
        <v>243</v>
      </c>
      <c r="K34" s="34">
        <v>46245</v>
      </c>
      <c r="L34" s="34">
        <v>46274</v>
      </c>
      <c r="M34" s="34">
        <v>46274</v>
      </c>
      <c r="N34" s="33" t="s">
        <v>110</v>
      </c>
      <c r="O34" s="33" t="s">
        <v>87</v>
      </c>
      <c r="P34" s="33" t="s">
        <v>122</v>
      </c>
      <c r="Q34" s="33" t="s">
        <v>123</v>
      </c>
      <c r="R34" s="35">
        <v>487.45</v>
      </c>
      <c r="S34" s="35">
        <v>0</v>
      </c>
      <c r="T34" s="35">
        <v>487.45</v>
      </c>
      <c r="U34" s="33" t="s">
        <v>90</v>
      </c>
      <c r="V34" s="33" t="str">
        <f t="shared" si="1"/>
        <v>OK</v>
      </c>
    </row>
    <row r="35" spans="1:22" s="36" customFormat="1" x14ac:dyDescent="0.3">
      <c r="A35" s="33" t="str">
        <f t="shared" si="0"/>
        <v>PIS|170</v>
      </c>
      <c r="B35" s="33" t="s">
        <v>101</v>
      </c>
      <c r="C35" s="33" t="s">
        <v>102</v>
      </c>
      <c r="D35" s="33" t="s">
        <v>103</v>
      </c>
      <c r="E35" s="33" t="s">
        <v>104</v>
      </c>
      <c r="F35" s="33" t="s">
        <v>105</v>
      </c>
      <c r="G35" s="33" t="s">
        <v>106</v>
      </c>
      <c r="H35" s="33" t="s">
        <v>107</v>
      </c>
      <c r="I35" s="33" t="s">
        <v>108</v>
      </c>
      <c r="J35" s="33" t="s">
        <v>109</v>
      </c>
      <c r="K35" s="34">
        <v>46237</v>
      </c>
      <c r="L35" s="34">
        <v>46283</v>
      </c>
      <c r="M35" s="34">
        <v>46283</v>
      </c>
      <c r="N35" s="33" t="s">
        <v>110</v>
      </c>
      <c r="O35" s="33" t="s">
        <v>149</v>
      </c>
      <c r="P35" s="33" t="s">
        <v>150</v>
      </c>
      <c r="Q35" s="33" t="s">
        <v>151</v>
      </c>
      <c r="R35" s="35">
        <v>330</v>
      </c>
      <c r="S35" s="35">
        <v>0</v>
      </c>
      <c r="T35" s="35">
        <v>330</v>
      </c>
      <c r="U35" s="33" t="s">
        <v>100</v>
      </c>
      <c r="V35" s="33" t="str">
        <f t="shared" si="1"/>
        <v>OK</v>
      </c>
    </row>
    <row r="36" spans="1:22" s="36" customFormat="1" x14ac:dyDescent="0.3">
      <c r="A36" s="33" t="str">
        <f t="shared" ref="A36:A60" si="2">O36&amp;"|"&amp;G36</f>
        <v>ISS|1140</v>
      </c>
      <c r="B36" s="33" t="s">
        <v>91</v>
      </c>
      <c r="C36" s="33" t="s">
        <v>92</v>
      </c>
      <c r="D36" s="33" t="s">
        <v>93</v>
      </c>
      <c r="E36" s="33" t="s">
        <v>244</v>
      </c>
      <c r="F36" s="33" t="s">
        <v>245</v>
      </c>
      <c r="G36" s="33" t="s">
        <v>96</v>
      </c>
      <c r="H36" s="33" t="s">
        <v>97</v>
      </c>
      <c r="I36" s="33" t="s">
        <v>98</v>
      </c>
      <c r="J36" s="33" t="s">
        <v>99</v>
      </c>
      <c r="K36" s="34">
        <v>46252</v>
      </c>
      <c r="L36" s="34">
        <v>46274</v>
      </c>
      <c r="M36" s="34">
        <v>46274</v>
      </c>
      <c r="N36" s="33" t="s">
        <v>86</v>
      </c>
      <c r="O36" s="33" t="s">
        <v>87</v>
      </c>
      <c r="P36" s="33" t="s">
        <v>88</v>
      </c>
      <c r="Q36" s="33" t="s">
        <v>89</v>
      </c>
      <c r="R36" s="35">
        <v>4439.1382999999996</v>
      </c>
      <c r="S36" s="35">
        <v>0</v>
      </c>
      <c r="T36" s="35">
        <v>4439.1382999999996</v>
      </c>
      <c r="U36" s="33" t="s">
        <v>100</v>
      </c>
      <c r="V36" s="33" t="str">
        <f t="shared" ref="V36:V60" si="3">IF(ABS(R36+S36-T36)&lt;0.0001,"OK","VERIFICAR")</f>
        <v>OK</v>
      </c>
    </row>
    <row r="37" spans="1:22" s="36" customFormat="1" x14ac:dyDescent="0.3">
      <c r="A37" s="33" t="str">
        <f t="shared" si="2"/>
        <v>ISS|5826</v>
      </c>
      <c r="B37" s="33" t="s">
        <v>246</v>
      </c>
      <c r="C37" s="33" t="s">
        <v>247</v>
      </c>
      <c r="D37" s="33" t="s">
        <v>248</v>
      </c>
      <c r="E37" s="33" t="s">
        <v>249</v>
      </c>
      <c r="F37" s="33" t="s">
        <v>250</v>
      </c>
      <c r="G37" s="33" t="s">
        <v>251</v>
      </c>
      <c r="H37" s="33" t="s">
        <v>252</v>
      </c>
      <c r="I37" s="33" t="s">
        <v>253</v>
      </c>
      <c r="J37" s="33" t="s">
        <v>254</v>
      </c>
      <c r="K37" s="34">
        <v>46261</v>
      </c>
      <c r="L37" s="34">
        <v>46274</v>
      </c>
      <c r="M37" s="34">
        <v>46274</v>
      </c>
      <c r="N37" s="33" t="s">
        <v>110</v>
      </c>
      <c r="O37" s="33" t="s">
        <v>87</v>
      </c>
      <c r="P37" s="33" t="s">
        <v>122</v>
      </c>
      <c r="Q37" s="33" t="s">
        <v>123</v>
      </c>
      <c r="R37" s="35">
        <v>6221.56</v>
      </c>
      <c r="S37" s="35">
        <v>0</v>
      </c>
      <c r="T37" s="35">
        <v>6221.56</v>
      </c>
      <c r="U37" s="33" t="s">
        <v>100</v>
      </c>
      <c r="V37" s="33" t="str">
        <f t="shared" si="3"/>
        <v>OK</v>
      </c>
    </row>
    <row r="38" spans="1:22" s="36" customFormat="1" x14ac:dyDescent="0.3">
      <c r="A38" s="33" t="str">
        <f t="shared" si="2"/>
        <v>IR|7662</v>
      </c>
      <c r="B38" s="33" t="s">
        <v>140</v>
      </c>
      <c r="C38" s="33" t="s">
        <v>141</v>
      </c>
      <c r="D38" s="33" t="s">
        <v>142</v>
      </c>
      <c r="E38" s="33" t="s">
        <v>143</v>
      </c>
      <c r="F38" s="33" t="s">
        <v>144</v>
      </c>
      <c r="G38" s="33" t="s">
        <v>145</v>
      </c>
      <c r="H38" s="33" t="s">
        <v>146</v>
      </c>
      <c r="I38" s="33" t="s">
        <v>147</v>
      </c>
      <c r="J38" s="33" t="s">
        <v>148</v>
      </c>
      <c r="K38" s="34">
        <v>46253</v>
      </c>
      <c r="L38" s="34">
        <v>46283</v>
      </c>
      <c r="M38" s="34">
        <v>46283</v>
      </c>
      <c r="N38" s="33" t="s">
        <v>110</v>
      </c>
      <c r="O38" s="33" t="s">
        <v>111</v>
      </c>
      <c r="P38" s="33" t="s">
        <v>112</v>
      </c>
      <c r="Q38" s="33" t="s">
        <v>113</v>
      </c>
      <c r="R38" s="35">
        <v>10.8</v>
      </c>
      <c r="S38" s="35">
        <v>0</v>
      </c>
      <c r="T38" s="35">
        <v>10.8</v>
      </c>
      <c r="U38" s="33" t="s">
        <v>100</v>
      </c>
      <c r="V38" s="33" t="str">
        <f t="shared" si="3"/>
        <v>OK</v>
      </c>
    </row>
    <row r="39" spans="1:22" s="36" customFormat="1" x14ac:dyDescent="0.3">
      <c r="A39" s="33" t="str">
        <f t="shared" si="2"/>
        <v>COFINS|7662</v>
      </c>
      <c r="B39" s="33" t="s">
        <v>140</v>
      </c>
      <c r="C39" s="33" t="s">
        <v>141</v>
      </c>
      <c r="D39" s="33" t="s">
        <v>142</v>
      </c>
      <c r="E39" s="33" t="s">
        <v>143</v>
      </c>
      <c r="F39" s="33" t="s">
        <v>144</v>
      </c>
      <c r="G39" s="33" t="s">
        <v>145</v>
      </c>
      <c r="H39" s="33" t="s">
        <v>146</v>
      </c>
      <c r="I39" s="33" t="s">
        <v>147</v>
      </c>
      <c r="J39" s="33" t="s">
        <v>148</v>
      </c>
      <c r="K39" s="34">
        <v>46253</v>
      </c>
      <c r="L39" s="34">
        <v>46283</v>
      </c>
      <c r="M39" s="34">
        <v>46283</v>
      </c>
      <c r="N39" s="33" t="s">
        <v>110</v>
      </c>
      <c r="O39" s="33" t="s">
        <v>192</v>
      </c>
      <c r="P39" s="33" t="s">
        <v>193</v>
      </c>
      <c r="Q39" s="33" t="s">
        <v>151</v>
      </c>
      <c r="R39" s="35">
        <v>21.6</v>
      </c>
      <c r="S39" s="35">
        <v>0</v>
      </c>
      <c r="T39" s="35">
        <v>21.6</v>
      </c>
      <c r="U39" s="33" t="s">
        <v>100</v>
      </c>
      <c r="V39" s="33" t="str">
        <f t="shared" si="3"/>
        <v>OK</v>
      </c>
    </row>
    <row r="40" spans="1:22" s="36" customFormat="1" x14ac:dyDescent="0.3">
      <c r="A40" s="33" t="str">
        <f t="shared" si="2"/>
        <v>ISS|5273</v>
      </c>
      <c r="B40" s="33" t="s">
        <v>124</v>
      </c>
      <c r="C40" s="33" t="s">
        <v>125</v>
      </c>
      <c r="D40" s="33" t="s">
        <v>126</v>
      </c>
      <c r="E40" s="33" t="s">
        <v>255</v>
      </c>
      <c r="F40" s="33" t="s">
        <v>256</v>
      </c>
      <c r="G40" s="33" t="s">
        <v>257</v>
      </c>
      <c r="H40" s="33" t="s">
        <v>258</v>
      </c>
      <c r="I40" s="33" t="s">
        <v>259</v>
      </c>
      <c r="J40" s="33" t="s">
        <v>260</v>
      </c>
      <c r="K40" s="34">
        <v>46253</v>
      </c>
      <c r="L40" s="34">
        <v>46274</v>
      </c>
      <c r="M40" s="34">
        <v>46274</v>
      </c>
      <c r="N40" s="33" t="s">
        <v>110</v>
      </c>
      <c r="O40" s="33" t="s">
        <v>87</v>
      </c>
      <c r="P40" s="33" t="s">
        <v>122</v>
      </c>
      <c r="Q40" s="33" t="s">
        <v>123</v>
      </c>
      <c r="R40" s="35">
        <v>36.876100000000001</v>
      </c>
      <c r="S40" s="35">
        <v>0</v>
      </c>
      <c r="T40" s="35">
        <v>36.876100000000001</v>
      </c>
      <c r="U40" s="33" t="s">
        <v>100</v>
      </c>
      <c r="V40" s="33" t="str">
        <f t="shared" si="3"/>
        <v>OK</v>
      </c>
    </row>
    <row r="41" spans="1:22" s="36" customFormat="1" x14ac:dyDescent="0.3">
      <c r="A41" s="33" t="str">
        <f t="shared" si="2"/>
        <v>INSS|5238</v>
      </c>
      <c r="B41" s="33" t="s">
        <v>124</v>
      </c>
      <c r="C41" s="33" t="s">
        <v>125</v>
      </c>
      <c r="D41" s="33" t="s">
        <v>126</v>
      </c>
      <c r="E41" s="33" t="s">
        <v>129</v>
      </c>
      <c r="F41" s="33" t="s">
        <v>130</v>
      </c>
      <c r="G41" s="33" t="s">
        <v>82</v>
      </c>
      <c r="H41" s="33" t="s">
        <v>83</v>
      </c>
      <c r="I41" s="33" t="s">
        <v>84</v>
      </c>
      <c r="J41" s="33" t="s">
        <v>85</v>
      </c>
      <c r="K41" s="34">
        <v>46244</v>
      </c>
      <c r="L41" s="34">
        <v>46283</v>
      </c>
      <c r="M41" s="34">
        <v>46283</v>
      </c>
      <c r="N41" s="33" t="s">
        <v>86</v>
      </c>
      <c r="O41" s="33" t="s">
        <v>224</v>
      </c>
      <c r="P41" s="33" t="s">
        <v>225</v>
      </c>
      <c r="Q41" s="33" t="s">
        <v>226</v>
      </c>
      <c r="R41" s="35">
        <v>7</v>
      </c>
      <c r="S41" s="35">
        <v>0</v>
      </c>
      <c r="T41" s="35">
        <v>7</v>
      </c>
      <c r="U41" s="33" t="s">
        <v>100</v>
      </c>
      <c r="V41" s="33" t="str">
        <f t="shared" si="3"/>
        <v>OK</v>
      </c>
    </row>
    <row r="42" spans="1:22" s="36" customFormat="1" x14ac:dyDescent="0.3">
      <c r="A42" s="33" t="str">
        <f t="shared" si="2"/>
        <v>ISS|1140</v>
      </c>
      <c r="B42" s="33" t="s">
        <v>229</v>
      </c>
      <c r="C42" s="33" t="s">
        <v>261</v>
      </c>
      <c r="D42" s="33" t="s">
        <v>262</v>
      </c>
      <c r="E42" s="33" t="s">
        <v>263</v>
      </c>
      <c r="F42" s="33" t="s">
        <v>264</v>
      </c>
      <c r="G42" s="33" t="s">
        <v>96</v>
      </c>
      <c r="H42" s="33" t="s">
        <v>97</v>
      </c>
      <c r="I42" s="33" t="s">
        <v>98</v>
      </c>
      <c r="J42" s="33" t="s">
        <v>99</v>
      </c>
      <c r="K42" s="34">
        <v>46252</v>
      </c>
      <c r="L42" s="34">
        <v>46274</v>
      </c>
      <c r="M42" s="34">
        <v>46274</v>
      </c>
      <c r="N42" s="33" t="s">
        <v>86</v>
      </c>
      <c r="O42" s="33" t="s">
        <v>87</v>
      </c>
      <c r="P42" s="33" t="s">
        <v>88</v>
      </c>
      <c r="Q42" s="33" t="s">
        <v>89</v>
      </c>
      <c r="R42" s="35">
        <v>85.8</v>
      </c>
      <c r="S42" s="35">
        <v>0</v>
      </c>
      <c r="T42" s="35">
        <v>85.8</v>
      </c>
      <c r="U42" s="33" t="s">
        <v>100</v>
      </c>
      <c r="V42" s="33" t="str">
        <f t="shared" si="3"/>
        <v>OK</v>
      </c>
    </row>
    <row r="43" spans="1:22" s="36" customFormat="1" x14ac:dyDescent="0.3">
      <c r="A43" s="33" t="str">
        <f t="shared" si="2"/>
        <v>INSS|5273</v>
      </c>
      <c r="B43" s="33" t="s">
        <v>124</v>
      </c>
      <c r="C43" s="33" t="s">
        <v>125</v>
      </c>
      <c r="D43" s="33" t="s">
        <v>126</v>
      </c>
      <c r="E43" s="33" t="s">
        <v>255</v>
      </c>
      <c r="F43" s="33" t="s">
        <v>256</v>
      </c>
      <c r="G43" s="33" t="s">
        <v>257</v>
      </c>
      <c r="H43" s="33" t="s">
        <v>258</v>
      </c>
      <c r="I43" s="33" t="s">
        <v>259</v>
      </c>
      <c r="J43" s="33" t="s">
        <v>260</v>
      </c>
      <c r="K43" s="34">
        <v>46253</v>
      </c>
      <c r="L43" s="34">
        <v>46283</v>
      </c>
      <c r="M43" s="34">
        <v>46283</v>
      </c>
      <c r="N43" s="33" t="s">
        <v>110</v>
      </c>
      <c r="O43" s="33" t="s">
        <v>224</v>
      </c>
      <c r="P43" s="33" t="s">
        <v>225</v>
      </c>
      <c r="Q43" s="33" t="s">
        <v>226</v>
      </c>
      <c r="R43" s="35">
        <v>25.819299999999998</v>
      </c>
      <c r="S43" s="35">
        <v>0</v>
      </c>
      <c r="T43" s="35">
        <v>25.819299999999998</v>
      </c>
      <c r="U43" s="33" t="s">
        <v>100</v>
      </c>
      <c r="V43" s="33" t="str">
        <f t="shared" si="3"/>
        <v>OK</v>
      </c>
    </row>
    <row r="44" spans="1:22" s="36" customFormat="1" x14ac:dyDescent="0.3">
      <c r="A44" s="33" t="str">
        <f t="shared" si="2"/>
        <v>ISS|37535</v>
      </c>
      <c r="B44" s="33" t="s">
        <v>183</v>
      </c>
      <c r="C44" s="33" t="s">
        <v>184</v>
      </c>
      <c r="D44" s="33" t="s">
        <v>185</v>
      </c>
      <c r="E44" s="33" t="s">
        <v>186</v>
      </c>
      <c r="F44" s="33" t="s">
        <v>187</v>
      </c>
      <c r="G44" s="33" t="s">
        <v>265</v>
      </c>
      <c r="H44" s="33" t="s">
        <v>266</v>
      </c>
      <c r="I44" s="33" t="s">
        <v>190</v>
      </c>
      <c r="J44" s="33" t="s">
        <v>191</v>
      </c>
      <c r="K44" s="34">
        <v>46253</v>
      </c>
      <c r="L44" s="34">
        <v>46274</v>
      </c>
      <c r="M44" s="34">
        <v>46274</v>
      </c>
      <c r="N44" s="33" t="s">
        <v>110</v>
      </c>
      <c r="O44" s="33" t="s">
        <v>87</v>
      </c>
      <c r="P44" s="33" t="s">
        <v>88</v>
      </c>
      <c r="Q44" s="33" t="s">
        <v>89</v>
      </c>
      <c r="R44" s="35">
        <v>112.5</v>
      </c>
      <c r="S44" s="35">
        <v>0</v>
      </c>
      <c r="T44" s="35">
        <v>112.5</v>
      </c>
      <c r="U44" s="33" t="s">
        <v>100</v>
      </c>
      <c r="V44" s="33" t="str">
        <f t="shared" si="3"/>
        <v>OK</v>
      </c>
    </row>
    <row r="45" spans="1:22" s="36" customFormat="1" x14ac:dyDescent="0.3">
      <c r="A45" s="33" t="str">
        <f t="shared" si="2"/>
        <v>INSS|5238</v>
      </c>
      <c r="B45" s="33" t="s">
        <v>124</v>
      </c>
      <c r="C45" s="33" t="s">
        <v>125</v>
      </c>
      <c r="D45" s="33" t="s">
        <v>126</v>
      </c>
      <c r="E45" s="33" t="s">
        <v>227</v>
      </c>
      <c r="F45" s="33" t="s">
        <v>228</v>
      </c>
      <c r="G45" s="33" t="s">
        <v>82</v>
      </c>
      <c r="H45" s="33" t="s">
        <v>83</v>
      </c>
      <c r="I45" s="33" t="s">
        <v>84</v>
      </c>
      <c r="J45" s="33" t="s">
        <v>85</v>
      </c>
      <c r="K45" s="34">
        <v>46244</v>
      </c>
      <c r="L45" s="34">
        <v>46283</v>
      </c>
      <c r="M45" s="34">
        <v>46283</v>
      </c>
      <c r="N45" s="33" t="s">
        <v>86</v>
      </c>
      <c r="O45" s="33" t="s">
        <v>224</v>
      </c>
      <c r="P45" s="33" t="s">
        <v>225</v>
      </c>
      <c r="Q45" s="33" t="s">
        <v>226</v>
      </c>
      <c r="R45" s="35">
        <v>210.77</v>
      </c>
      <c r="S45" s="35">
        <v>0</v>
      </c>
      <c r="T45" s="35">
        <v>210.77</v>
      </c>
      <c r="U45" s="33" t="s">
        <v>100</v>
      </c>
      <c r="V45" s="33" t="str">
        <f t="shared" si="3"/>
        <v>OK</v>
      </c>
    </row>
    <row r="46" spans="1:22" s="36" customFormat="1" x14ac:dyDescent="0.3">
      <c r="A46" s="33" t="str">
        <f t="shared" si="2"/>
        <v>ISS|1140</v>
      </c>
      <c r="B46" s="33" t="s">
        <v>229</v>
      </c>
      <c r="C46" s="33" t="s">
        <v>261</v>
      </c>
      <c r="D46" s="33" t="s">
        <v>262</v>
      </c>
      <c r="E46" s="33" t="s">
        <v>267</v>
      </c>
      <c r="F46" s="33" t="s">
        <v>268</v>
      </c>
      <c r="G46" s="33" t="s">
        <v>96</v>
      </c>
      <c r="H46" s="33" t="s">
        <v>97</v>
      </c>
      <c r="I46" s="33" t="s">
        <v>98</v>
      </c>
      <c r="J46" s="33" t="s">
        <v>99</v>
      </c>
      <c r="K46" s="34">
        <v>46252</v>
      </c>
      <c r="L46" s="34">
        <v>46274</v>
      </c>
      <c r="M46" s="34">
        <v>46274</v>
      </c>
      <c r="N46" s="33" t="s">
        <v>86</v>
      </c>
      <c r="O46" s="33" t="s">
        <v>87</v>
      </c>
      <c r="P46" s="33" t="s">
        <v>88</v>
      </c>
      <c r="Q46" s="33" t="s">
        <v>89</v>
      </c>
      <c r="R46" s="35">
        <v>913.49969999999996</v>
      </c>
      <c r="S46" s="35">
        <v>0</v>
      </c>
      <c r="T46" s="35">
        <v>913.49969999999996</v>
      </c>
      <c r="U46" s="33" t="s">
        <v>100</v>
      </c>
      <c r="V46" s="33" t="str">
        <f t="shared" si="3"/>
        <v>OK</v>
      </c>
    </row>
    <row r="47" spans="1:22" s="36" customFormat="1" x14ac:dyDescent="0.3">
      <c r="A47" s="33" t="str">
        <f t="shared" si="2"/>
        <v>ISS|1140</v>
      </c>
      <c r="B47" s="33" t="s">
        <v>91</v>
      </c>
      <c r="C47" s="33" t="s">
        <v>92</v>
      </c>
      <c r="D47" s="33" t="s">
        <v>93</v>
      </c>
      <c r="E47" s="33" t="s">
        <v>269</v>
      </c>
      <c r="F47" s="33" t="s">
        <v>270</v>
      </c>
      <c r="G47" s="33" t="s">
        <v>96</v>
      </c>
      <c r="H47" s="33" t="s">
        <v>97</v>
      </c>
      <c r="I47" s="33" t="s">
        <v>98</v>
      </c>
      <c r="J47" s="33" t="s">
        <v>99</v>
      </c>
      <c r="K47" s="34">
        <v>46252</v>
      </c>
      <c r="L47" s="34">
        <v>46274</v>
      </c>
      <c r="M47" s="34">
        <v>46274</v>
      </c>
      <c r="N47" s="33" t="s">
        <v>86</v>
      </c>
      <c r="O47" s="33" t="s">
        <v>87</v>
      </c>
      <c r="P47" s="33" t="s">
        <v>88</v>
      </c>
      <c r="Q47" s="33" t="s">
        <v>89</v>
      </c>
      <c r="R47" s="35">
        <v>479.99979999999999</v>
      </c>
      <c r="S47" s="35">
        <v>0</v>
      </c>
      <c r="T47" s="35">
        <v>479.99979999999999</v>
      </c>
      <c r="U47" s="33" t="s">
        <v>100</v>
      </c>
      <c r="V47" s="33" t="str">
        <f t="shared" si="3"/>
        <v>OK</v>
      </c>
    </row>
    <row r="48" spans="1:22" s="36" customFormat="1" x14ac:dyDescent="0.3">
      <c r="A48" s="33" t="str">
        <f t="shared" si="2"/>
        <v>ISS|7662</v>
      </c>
      <c r="B48" s="33" t="s">
        <v>140</v>
      </c>
      <c r="C48" s="33" t="s">
        <v>141</v>
      </c>
      <c r="D48" s="33" t="s">
        <v>142</v>
      </c>
      <c r="E48" s="33" t="s">
        <v>143</v>
      </c>
      <c r="F48" s="33" t="s">
        <v>144</v>
      </c>
      <c r="G48" s="33" t="s">
        <v>145</v>
      </c>
      <c r="H48" s="33" t="s">
        <v>146</v>
      </c>
      <c r="I48" s="33" t="s">
        <v>147</v>
      </c>
      <c r="J48" s="33" t="s">
        <v>148</v>
      </c>
      <c r="K48" s="34">
        <v>46253</v>
      </c>
      <c r="L48" s="34">
        <v>46274</v>
      </c>
      <c r="M48" s="34">
        <v>46274</v>
      </c>
      <c r="N48" s="33" t="s">
        <v>110</v>
      </c>
      <c r="O48" s="33" t="s">
        <v>87</v>
      </c>
      <c r="P48" s="33" t="s">
        <v>122</v>
      </c>
      <c r="Q48" s="33" t="s">
        <v>123</v>
      </c>
      <c r="R48" s="35">
        <v>36</v>
      </c>
      <c r="S48" s="35">
        <v>0</v>
      </c>
      <c r="T48" s="35">
        <v>36</v>
      </c>
      <c r="U48" s="33" t="s">
        <v>100</v>
      </c>
      <c r="V48" s="33" t="str">
        <f t="shared" si="3"/>
        <v>OK</v>
      </c>
    </row>
    <row r="49" spans="1:22" s="36" customFormat="1" x14ac:dyDescent="0.3">
      <c r="A49" s="33" t="str">
        <f t="shared" si="2"/>
        <v>PIS|23391</v>
      </c>
      <c r="B49" s="33" t="s">
        <v>165</v>
      </c>
      <c r="C49" s="33" t="s">
        <v>166</v>
      </c>
      <c r="D49" s="33" t="s">
        <v>167</v>
      </c>
      <c r="E49" s="33" t="s">
        <v>168</v>
      </c>
      <c r="F49" s="33" t="s">
        <v>169</v>
      </c>
      <c r="G49" s="33" t="s">
        <v>170</v>
      </c>
      <c r="H49" s="33" t="s">
        <v>171</v>
      </c>
      <c r="I49" s="33" t="s">
        <v>172</v>
      </c>
      <c r="J49" s="33" t="s">
        <v>173</v>
      </c>
      <c r="K49" s="34">
        <v>46241</v>
      </c>
      <c r="L49" s="34">
        <v>46283</v>
      </c>
      <c r="M49" s="34">
        <v>46283</v>
      </c>
      <c r="N49" s="33" t="s">
        <v>110</v>
      </c>
      <c r="O49" s="33" t="s">
        <v>149</v>
      </c>
      <c r="P49" s="33" t="s">
        <v>150</v>
      </c>
      <c r="Q49" s="33" t="s">
        <v>151</v>
      </c>
      <c r="R49" s="35">
        <v>21.01</v>
      </c>
      <c r="S49" s="35">
        <v>0</v>
      </c>
      <c r="T49" s="35">
        <v>21.01</v>
      </c>
      <c r="U49" s="33" t="s">
        <v>90</v>
      </c>
      <c r="V49" s="33" t="str">
        <f t="shared" si="3"/>
        <v>OK</v>
      </c>
    </row>
    <row r="50" spans="1:22" s="36" customFormat="1" x14ac:dyDescent="0.3">
      <c r="A50" s="33" t="str">
        <f t="shared" si="2"/>
        <v>INSS|5273</v>
      </c>
      <c r="B50" s="33" t="s">
        <v>271</v>
      </c>
      <c r="C50" s="33" t="s">
        <v>272</v>
      </c>
      <c r="D50" s="33" t="s">
        <v>273</v>
      </c>
      <c r="E50" s="33" t="s">
        <v>274</v>
      </c>
      <c r="F50" s="33" t="s">
        <v>275</v>
      </c>
      <c r="G50" s="33" t="s">
        <v>257</v>
      </c>
      <c r="H50" s="33" t="s">
        <v>258</v>
      </c>
      <c r="I50" s="33" t="s">
        <v>259</v>
      </c>
      <c r="J50" s="33" t="s">
        <v>260</v>
      </c>
      <c r="K50" s="34">
        <v>46253</v>
      </c>
      <c r="L50" s="34">
        <v>46283</v>
      </c>
      <c r="M50" s="34">
        <v>46283</v>
      </c>
      <c r="N50" s="33" t="s">
        <v>110</v>
      </c>
      <c r="O50" s="33" t="s">
        <v>224</v>
      </c>
      <c r="P50" s="33" t="s">
        <v>225</v>
      </c>
      <c r="Q50" s="33" t="s">
        <v>226</v>
      </c>
      <c r="R50" s="35">
        <v>67.750699999999995</v>
      </c>
      <c r="S50" s="35">
        <v>0</v>
      </c>
      <c r="T50" s="35">
        <v>67.750699999999995</v>
      </c>
      <c r="U50" s="33" t="s">
        <v>100</v>
      </c>
      <c r="V50" s="33" t="str">
        <f t="shared" si="3"/>
        <v>OK</v>
      </c>
    </row>
    <row r="51" spans="1:22" s="36" customFormat="1" x14ac:dyDescent="0.3">
      <c r="A51" s="33" t="str">
        <f t="shared" si="2"/>
        <v>INSS|5238</v>
      </c>
      <c r="B51" s="33" t="s">
        <v>124</v>
      </c>
      <c r="C51" s="33" t="s">
        <v>125</v>
      </c>
      <c r="D51" s="33" t="s">
        <v>126</v>
      </c>
      <c r="E51" s="33" t="s">
        <v>127</v>
      </c>
      <c r="F51" s="33" t="s">
        <v>128</v>
      </c>
      <c r="G51" s="33" t="s">
        <v>82</v>
      </c>
      <c r="H51" s="33" t="s">
        <v>83</v>
      </c>
      <c r="I51" s="33" t="s">
        <v>84</v>
      </c>
      <c r="J51" s="33" t="s">
        <v>85</v>
      </c>
      <c r="K51" s="34">
        <v>46244</v>
      </c>
      <c r="L51" s="34">
        <v>46283</v>
      </c>
      <c r="M51" s="34">
        <v>46283</v>
      </c>
      <c r="N51" s="33" t="s">
        <v>86</v>
      </c>
      <c r="O51" s="33" t="s">
        <v>224</v>
      </c>
      <c r="P51" s="33" t="s">
        <v>225</v>
      </c>
      <c r="Q51" s="33" t="s">
        <v>226</v>
      </c>
      <c r="R51" s="35">
        <v>87.5</v>
      </c>
      <c r="S51" s="35">
        <v>0</v>
      </c>
      <c r="T51" s="35">
        <v>87.5</v>
      </c>
      <c r="U51" s="33" t="s">
        <v>100</v>
      </c>
      <c r="V51" s="33" t="str">
        <f t="shared" si="3"/>
        <v>OK</v>
      </c>
    </row>
    <row r="52" spans="1:22" s="36" customFormat="1" x14ac:dyDescent="0.3">
      <c r="A52" s="33" t="str">
        <f t="shared" si="2"/>
        <v>ISS|1140</v>
      </c>
      <c r="B52" s="33" t="s">
        <v>229</v>
      </c>
      <c r="C52" s="33" t="s">
        <v>261</v>
      </c>
      <c r="D52" s="33" t="s">
        <v>262</v>
      </c>
      <c r="E52" s="33" t="s">
        <v>276</v>
      </c>
      <c r="F52" s="33" t="s">
        <v>268</v>
      </c>
      <c r="G52" s="33" t="s">
        <v>96</v>
      </c>
      <c r="H52" s="33" t="s">
        <v>97</v>
      </c>
      <c r="I52" s="33" t="s">
        <v>98</v>
      </c>
      <c r="J52" s="33" t="s">
        <v>99</v>
      </c>
      <c r="K52" s="34">
        <v>46252</v>
      </c>
      <c r="L52" s="34">
        <v>46274</v>
      </c>
      <c r="M52" s="34">
        <v>46274</v>
      </c>
      <c r="N52" s="33" t="s">
        <v>86</v>
      </c>
      <c r="O52" s="33" t="s">
        <v>87</v>
      </c>
      <c r="P52" s="33" t="s">
        <v>88</v>
      </c>
      <c r="Q52" s="33" t="s">
        <v>89</v>
      </c>
      <c r="R52" s="35">
        <v>939.99959999999999</v>
      </c>
      <c r="S52" s="35">
        <v>0</v>
      </c>
      <c r="T52" s="35">
        <v>939.99959999999999</v>
      </c>
      <c r="U52" s="33" t="s">
        <v>100</v>
      </c>
      <c r="V52" s="33" t="str">
        <f t="shared" si="3"/>
        <v>OK</v>
      </c>
    </row>
    <row r="53" spans="1:22" s="36" customFormat="1" x14ac:dyDescent="0.3">
      <c r="A53" s="33" t="str">
        <f t="shared" si="2"/>
        <v>ISS|1140</v>
      </c>
      <c r="B53" s="33" t="s">
        <v>91</v>
      </c>
      <c r="C53" s="33" t="s">
        <v>131</v>
      </c>
      <c r="D53" s="33" t="s">
        <v>132</v>
      </c>
      <c r="E53" s="33" t="s">
        <v>277</v>
      </c>
      <c r="F53" s="33" t="s">
        <v>134</v>
      </c>
      <c r="G53" s="33" t="s">
        <v>96</v>
      </c>
      <c r="H53" s="33" t="s">
        <v>97</v>
      </c>
      <c r="I53" s="33" t="s">
        <v>98</v>
      </c>
      <c r="J53" s="33" t="s">
        <v>99</v>
      </c>
      <c r="K53" s="34">
        <v>46252</v>
      </c>
      <c r="L53" s="34">
        <v>46274</v>
      </c>
      <c r="M53" s="34">
        <v>46274</v>
      </c>
      <c r="N53" s="33" t="s">
        <v>86</v>
      </c>
      <c r="O53" s="33" t="s">
        <v>87</v>
      </c>
      <c r="P53" s="33" t="s">
        <v>88</v>
      </c>
      <c r="Q53" s="33" t="s">
        <v>89</v>
      </c>
      <c r="R53" s="35">
        <v>658.44970000000001</v>
      </c>
      <c r="S53" s="35">
        <v>0</v>
      </c>
      <c r="T53" s="35">
        <v>658.44970000000001</v>
      </c>
      <c r="U53" s="33" t="s">
        <v>100</v>
      </c>
      <c r="V53" s="33" t="str">
        <f t="shared" si="3"/>
        <v>OK</v>
      </c>
    </row>
    <row r="54" spans="1:22" s="36" customFormat="1" x14ac:dyDescent="0.3">
      <c r="A54" s="33" t="str">
        <f t="shared" si="2"/>
        <v>IR|22853</v>
      </c>
      <c r="B54" s="33" t="s">
        <v>197</v>
      </c>
      <c r="C54" s="33" t="s">
        <v>198</v>
      </c>
      <c r="D54" s="33" t="s">
        <v>199</v>
      </c>
      <c r="E54" s="33" t="s">
        <v>200</v>
      </c>
      <c r="F54" s="33" t="s">
        <v>201</v>
      </c>
      <c r="G54" s="33" t="s">
        <v>202</v>
      </c>
      <c r="H54" s="33" t="s">
        <v>203</v>
      </c>
      <c r="I54" s="33" t="s">
        <v>204</v>
      </c>
      <c r="J54" s="33" t="s">
        <v>205</v>
      </c>
      <c r="K54" s="34">
        <v>46245</v>
      </c>
      <c r="L54" s="34">
        <v>46283</v>
      </c>
      <c r="M54" s="34">
        <v>46283</v>
      </c>
      <c r="N54" s="33" t="s">
        <v>110</v>
      </c>
      <c r="O54" s="33" t="s">
        <v>111</v>
      </c>
      <c r="P54" s="33" t="s">
        <v>112</v>
      </c>
      <c r="Q54" s="33" t="s">
        <v>113</v>
      </c>
      <c r="R54" s="35">
        <v>43.5</v>
      </c>
      <c r="S54" s="35">
        <v>0</v>
      </c>
      <c r="T54" s="35">
        <v>43.5</v>
      </c>
      <c r="U54" s="33" t="s">
        <v>100</v>
      </c>
      <c r="V54" s="33" t="str">
        <f t="shared" si="3"/>
        <v>OK</v>
      </c>
    </row>
    <row r="55" spans="1:22" s="36" customFormat="1" x14ac:dyDescent="0.3">
      <c r="A55" s="33" t="str">
        <f t="shared" si="2"/>
        <v>CSLL|22853</v>
      </c>
      <c r="B55" s="33" t="s">
        <v>197</v>
      </c>
      <c r="C55" s="33" t="s">
        <v>198</v>
      </c>
      <c r="D55" s="33" t="s">
        <v>199</v>
      </c>
      <c r="E55" s="33" t="s">
        <v>200</v>
      </c>
      <c r="F55" s="33" t="s">
        <v>201</v>
      </c>
      <c r="G55" s="33" t="s">
        <v>202</v>
      </c>
      <c r="H55" s="33" t="s">
        <v>203</v>
      </c>
      <c r="I55" s="33" t="s">
        <v>204</v>
      </c>
      <c r="J55" s="33" t="s">
        <v>205</v>
      </c>
      <c r="K55" s="34">
        <v>46245</v>
      </c>
      <c r="L55" s="34">
        <v>46283</v>
      </c>
      <c r="M55" s="34">
        <v>46283</v>
      </c>
      <c r="N55" s="33" t="s">
        <v>110</v>
      </c>
      <c r="O55" s="33" t="s">
        <v>214</v>
      </c>
      <c r="P55" s="33" t="s">
        <v>215</v>
      </c>
      <c r="Q55" s="33" t="s">
        <v>151</v>
      </c>
      <c r="R55" s="35">
        <v>29</v>
      </c>
      <c r="S55" s="35">
        <v>0</v>
      </c>
      <c r="T55" s="35">
        <v>29</v>
      </c>
      <c r="U55" s="33" t="s">
        <v>100</v>
      </c>
      <c r="V55" s="33" t="str">
        <f t="shared" si="3"/>
        <v>OK</v>
      </c>
    </row>
    <row r="56" spans="1:22" s="36" customFormat="1" x14ac:dyDescent="0.3">
      <c r="A56" s="33" t="str">
        <f t="shared" si="2"/>
        <v>INSS|5826</v>
      </c>
      <c r="B56" s="33" t="s">
        <v>246</v>
      </c>
      <c r="C56" s="33" t="s">
        <v>247</v>
      </c>
      <c r="D56" s="33" t="s">
        <v>248</v>
      </c>
      <c r="E56" s="33" t="s">
        <v>249</v>
      </c>
      <c r="F56" s="33" t="s">
        <v>250</v>
      </c>
      <c r="G56" s="33" t="s">
        <v>251</v>
      </c>
      <c r="H56" s="33" t="s">
        <v>252</v>
      </c>
      <c r="I56" s="33" t="s">
        <v>253</v>
      </c>
      <c r="J56" s="33" t="s">
        <v>254</v>
      </c>
      <c r="K56" s="34">
        <v>46261</v>
      </c>
      <c r="L56" s="34">
        <v>46283</v>
      </c>
      <c r="M56" s="34">
        <v>46283</v>
      </c>
      <c r="N56" s="33" t="s">
        <v>110</v>
      </c>
      <c r="O56" s="33" t="s">
        <v>224</v>
      </c>
      <c r="P56" s="33" t="s">
        <v>225</v>
      </c>
      <c r="Q56" s="33" t="s">
        <v>226</v>
      </c>
      <c r="R56" s="35">
        <v>4355.09</v>
      </c>
      <c r="S56" s="35">
        <v>0</v>
      </c>
      <c r="T56" s="35">
        <v>4355.09</v>
      </c>
      <c r="U56" s="33" t="s">
        <v>100</v>
      </c>
      <c r="V56" s="33" t="str">
        <f t="shared" si="3"/>
        <v>OK</v>
      </c>
    </row>
    <row r="57" spans="1:22" s="36" customFormat="1" x14ac:dyDescent="0.3">
      <c r="A57" s="33" t="str">
        <f t="shared" si="2"/>
        <v>CSLL|7662</v>
      </c>
      <c r="B57" s="33" t="s">
        <v>140</v>
      </c>
      <c r="C57" s="33" t="s">
        <v>141</v>
      </c>
      <c r="D57" s="33" t="s">
        <v>142</v>
      </c>
      <c r="E57" s="33" t="s">
        <v>143</v>
      </c>
      <c r="F57" s="33" t="s">
        <v>144</v>
      </c>
      <c r="G57" s="33" t="s">
        <v>145</v>
      </c>
      <c r="H57" s="33" t="s">
        <v>146</v>
      </c>
      <c r="I57" s="33" t="s">
        <v>147</v>
      </c>
      <c r="J57" s="33" t="s">
        <v>148</v>
      </c>
      <c r="K57" s="34">
        <v>46253</v>
      </c>
      <c r="L57" s="34">
        <v>46283</v>
      </c>
      <c r="M57" s="34">
        <v>46283</v>
      </c>
      <c r="N57" s="33" t="s">
        <v>110</v>
      </c>
      <c r="O57" s="33" t="s">
        <v>214</v>
      </c>
      <c r="P57" s="33" t="s">
        <v>215</v>
      </c>
      <c r="Q57" s="33" t="s">
        <v>151</v>
      </c>
      <c r="R57" s="35">
        <v>7.2</v>
      </c>
      <c r="S57" s="35">
        <v>0</v>
      </c>
      <c r="T57" s="35">
        <v>7.2</v>
      </c>
      <c r="U57" s="33" t="s">
        <v>100</v>
      </c>
      <c r="V57" s="33" t="str">
        <f t="shared" si="3"/>
        <v>OK</v>
      </c>
    </row>
    <row r="58" spans="1:22" s="36" customFormat="1" x14ac:dyDescent="0.3">
      <c r="A58" s="33" t="str">
        <f t="shared" si="2"/>
        <v>ISS|23391</v>
      </c>
      <c r="B58" s="33" t="s">
        <v>165</v>
      </c>
      <c r="C58" s="33" t="s">
        <v>166</v>
      </c>
      <c r="D58" s="33" t="s">
        <v>167</v>
      </c>
      <c r="E58" s="33" t="s">
        <v>168</v>
      </c>
      <c r="F58" s="33" t="s">
        <v>169</v>
      </c>
      <c r="G58" s="33" t="s">
        <v>170</v>
      </c>
      <c r="H58" s="33" t="s">
        <v>171</v>
      </c>
      <c r="I58" s="33" t="s">
        <v>172</v>
      </c>
      <c r="J58" s="33" t="s">
        <v>173</v>
      </c>
      <c r="K58" s="34">
        <v>46241</v>
      </c>
      <c r="L58" s="34">
        <v>46274</v>
      </c>
      <c r="M58" s="34">
        <v>46274</v>
      </c>
      <c r="N58" s="33" t="s">
        <v>110</v>
      </c>
      <c r="O58" s="33" t="s">
        <v>87</v>
      </c>
      <c r="P58" s="33" t="s">
        <v>122</v>
      </c>
      <c r="Q58" s="33" t="s">
        <v>123</v>
      </c>
      <c r="R58" s="35">
        <v>161.65</v>
      </c>
      <c r="S58" s="35">
        <v>0</v>
      </c>
      <c r="T58" s="35">
        <v>161.65</v>
      </c>
      <c r="U58" s="33" t="s">
        <v>90</v>
      </c>
      <c r="V58" s="33" t="str">
        <f t="shared" si="3"/>
        <v>OK</v>
      </c>
    </row>
    <row r="59" spans="1:22" s="36" customFormat="1" x14ac:dyDescent="0.3">
      <c r="A59" s="33" t="str">
        <f t="shared" si="2"/>
        <v>ISS|5273</v>
      </c>
      <c r="B59" s="33" t="s">
        <v>271</v>
      </c>
      <c r="C59" s="33" t="s">
        <v>272</v>
      </c>
      <c r="D59" s="33" t="s">
        <v>273</v>
      </c>
      <c r="E59" s="33" t="s">
        <v>274</v>
      </c>
      <c r="F59" s="33" t="s">
        <v>275</v>
      </c>
      <c r="G59" s="33" t="s">
        <v>257</v>
      </c>
      <c r="H59" s="33" t="s">
        <v>258</v>
      </c>
      <c r="I59" s="33" t="s">
        <v>259</v>
      </c>
      <c r="J59" s="33" t="s">
        <v>260</v>
      </c>
      <c r="K59" s="34">
        <v>46253</v>
      </c>
      <c r="L59" s="34">
        <v>46274</v>
      </c>
      <c r="M59" s="34">
        <v>46274</v>
      </c>
      <c r="N59" s="33" t="s">
        <v>110</v>
      </c>
      <c r="O59" s="33" t="s">
        <v>87</v>
      </c>
      <c r="P59" s="33" t="s">
        <v>122</v>
      </c>
      <c r="Q59" s="33" t="s">
        <v>123</v>
      </c>
      <c r="R59" s="35">
        <v>96.763900000000007</v>
      </c>
      <c r="S59" s="35">
        <v>0</v>
      </c>
      <c r="T59" s="35">
        <v>96.763900000000007</v>
      </c>
      <c r="U59" s="33" t="s">
        <v>100</v>
      </c>
      <c r="V59" s="33" t="str">
        <f t="shared" si="3"/>
        <v>OK</v>
      </c>
    </row>
    <row r="60" spans="1:22" s="36" customFormat="1" x14ac:dyDescent="0.3">
      <c r="A60" s="33" t="str">
        <f t="shared" si="2"/>
        <v>ISS|37444</v>
      </c>
      <c r="B60" s="33" t="s">
        <v>183</v>
      </c>
      <c r="C60" s="33" t="s">
        <v>184</v>
      </c>
      <c r="D60" s="33" t="s">
        <v>185</v>
      </c>
      <c r="E60" s="33" t="s">
        <v>278</v>
      </c>
      <c r="F60" s="33" t="s">
        <v>279</v>
      </c>
      <c r="G60" s="33" t="s">
        <v>188</v>
      </c>
      <c r="H60" s="33" t="s">
        <v>189</v>
      </c>
      <c r="I60" s="33" t="s">
        <v>280</v>
      </c>
      <c r="J60" s="33" t="s">
        <v>281</v>
      </c>
      <c r="K60" s="34">
        <v>46244</v>
      </c>
      <c r="L60" s="34">
        <v>46274</v>
      </c>
      <c r="M60" s="34">
        <v>46274</v>
      </c>
      <c r="N60" s="33" t="s">
        <v>110</v>
      </c>
      <c r="O60" s="33" t="s">
        <v>87</v>
      </c>
      <c r="P60" s="33" t="s">
        <v>122</v>
      </c>
      <c r="Q60" s="33" t="s">
        <v>123</v>
      </c>
      <c r="R60" s="35">
        <v>15</v>
      </c>
      <c r="S60" s="35">
        <v>0</v>
      </c>
      <c r="T60" s="35">
        <v>15</v>
      </c>
      <c r="U60" s="33" t="s">
        <v>100</v>
      </c>
      <c r="V60" s="33" t="str">
        <f t="shared" si="3"/>
        <v>OK</v>
      </c>
    </row>
    <row r="61" spans="1:22" x14ac:dyDescent="0.3">
      <c r="Q61" s="16" t="s">
        <v>282</v>
      </c>
      <c r="R61" s="17">
        <f>SUM(R4:R60)</f>
        <v>28223.875800000005</v>
      </c>
      <c r="S61" s="17">
        <f>SUM(S4:S60)</f>
        <v>133.13999999999999</v>
      </c>
      <c r="T61" s="17">
        <f>SUM(T4:T60)</f>
        <v>28357.015800000005</v>
      </c>
    </row>
    <row r="62" spans="1:22" x14ac:dyDescent="0.3">
      <c r="Q62" s="2" t="s">
        <v>283</v>
      </c>
      <c r="T62" s="18">
        <v>28357.02</v>
      </c>
    </row>
    <row r="63" spans="1:22" x14ac:dyDescent="0.3">
      <c r="Q63" s="16" t="s">
        <v>29</v>
      </c>
      <c r="T63" s="17">
        <f>ROUND(T61-T62,2)</f>
        <v>0</v>
      </c>
    </row>
  </sheetData>
  <autoFilter ref="A3:V60" xr:uid="{00000000-0009-0000-0000-000001000000}"/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6"/>
  <sheetViews>
    <sheetView showGridLines="0" zoomScale="70" zoomScaleNormal="70" workbookViewId="0">
      <pane xSplit="2" ySplit="3" topLeftCell="C7" activePane="bottomRight" state="frozen"/>
      <selection pane="topRight" activeCell="C1" sqref="C1"/>
      <selection pane="bottomLeft" activeCell="A5" sqref="A5"/>
      <selection pane="bottomRight" activeCell="E40" sqref="E40"/>
    </sheetView>
  </sheetViews>
  <sheetFormatPr defaultColWidth="8.6640625" defaultRowHeight="14.4" x14ac:dyDescent="0.3"/>
  <cols>
    <col min="1" max="1" width="11.33203125" customWidth="1"/>
    <col min="2" max="2" width="10" customWidth="1"/>
    <col min="3" max="3" width="63.5546875" customWidth="1"/>
    <col min="4" max="5" width="13" customWidth="1"/>
    <col min="6" max="6" width="14.33203125" customWidth="1"/>
    <col min="7" max="7" width="11.33203125" customWidth="1"/>
    <col min="8" max="8" width="13" customWidth="1"/>
    <col min="9" max="9" width="16.77734375" customWidth="1"/>
    <col min="10" max="10" width="13.77734375" customWidth="1"/>
    <col min="11" max="11" width="32.88671875" customWidth="1"/>
    <col min="12" max="12" width="32.21875" customWidth="1"/>
    <col min="13" max="13" width="70" customWidth="1"/>
  </cols>
  <sheetData>
    <row r="1" spans="1:13" ht="17.399999999999999" x14ac:dyDescent="0.3">
      <c r="A1" s="1" t="s">
        <v>284</v>
      </c>
    </row>
    <row r="3" spans="1:13" ht="30" customHeight="1" x14ac:dyDescent="0.3">
      <c r="A3" s="14" t="s">
        <v>69</v>
      </c>
      <c r="B3" s="14" t="s">
        <v>285</v>
      </c>
      <c r="C3" s="14" t="s">
        <v>286</v>
      </c>
      <c r="D3" s="14" t="s">
        <v>287</v>
      </c>
      <c r="E3" s="14" t="s">
        <v>288</v>
      </c>
      <c r="F3" s="14" t="s">
        <v>289</v>
      </c>
      <c r="G3" s="14" t="s">
        <v>290</v>
      </c>
      <c r="H3" s="14" t="s">
        <v>291</v>
      </c>
      <c r="I3" s="14" t="s">
        <v>292</v>
      </c>
      <c r="J3" s="14" t="s">
        <v>293</v>
      </c>
      <c r="K3" s="14" t="s">
        <v>294</v>
      </c>
      <c r="L3" s="14" t="s">
        <v>295</v>
      </c>
      <c r="M3" s="14" t="s">
        <v>296</v>
      </c>
    </row>
    <row r="4" spans="1:13" x14ac:dyDescent="0.3">
      <c r="A4" s="4" t="s">
        <v>87</v>
      </c>
      <c r="B4" s="4" t="s">
        <v>240</v>
      </c>
      <c r="C4" s="4" t="str">
        <f>IFERROR(INDEX(CP_Setembro!$C$5:$C$126,MATCH("F|"&amp;B4,CP_Setembro!$A$5:$A$126,0)),"MELHOR TECNOLOGIA E INOVACAO LTDA (NF 99, agosto)")</f>
        <v>MELHOR TECNOLOGIA E INOVACAO LTDA (NF 99, agosto)</v>
      </c>
      <c r="D4" s="5">
        <f>SUMIFS(Tributos!$D$4:$D$39,Tributos!$A$4:$A$39,A4,Tributos!$B$4:$B$39,B4)</f>
        <v>487.45</v>
      </c>
      <c r="E4" s="5">
        <f>SUMIFS(Impostos_Base!$T$4:$T$60,Impostos_Base!$O$4:$O$60,A4,Impostos_Base!$G$4:$G$60,B4)</f>
        <v>487.45</v>
      </c>
      <c r="F4" s="5">
        <f t="shared" ref="F4:F39" si="0">ROUND(D4-E4,4)</f>
        <v>0</v>
      </c>
      <c r="G4" s="4">
        <f>COUNTIFS(Impostos_Base!$O$4:$O$60,A4,Impostos_Base!$G$4:$G$60,B4)</f>
        <v>1</v>
      </c>
      <c r="H4" s="5">
        <f>SUMIFS(Impostos_Base!$R$4:$R$60,Impostos_Base!$O$4:$O$60,A4,Impostos_Base!$G$4:$G$60,B4)</f>
        <v>487.45</v>
      </c>
      <c r="I4" s="5">
        <f>SUMIFS(Impostos_Base!$S$4:$S$60,Impostos_Base!$O$4:$O$60,A4,Impostos_Base!$G$4:$G$60,B4)</f>
        <v>0</v>
      </c>
      <c r="J4" s="4">
        <f>COUNTIFS(Impostos_Base!$O$4:$O$60,A4,Impostos_Base!$G$4:$G$60,B4,Impostos_Base!$U$4:$U$60,"Sim")</f>
        <v>1</v>
      </c>
      <c r="K4" s="4" t="str">
        <f>IFERROR(INDEX(Tributos!$F$4:$F$39,MATCH(B4,Tributos!$B$4:$B$39,0)),"-")</f>
        <v>Lote anterior</v>
      </c>
      <c r="L4" s="4" t="str">
        <f t="shared" ref="L4:L39" si="1">IF(G4=0,"Só no CP",IF(D4=0,"Só na base",IF(ABS(F4)&lt;0.005,IF(I4&gt;0,"OK - em aberto na base","OK"),IF(ABS(F4)&lt;1,"Dif. de rateio","DIVERGE"))))</f>
        <v>OK</v>
      </c>
      <c r="M4" s="4"/>
    </row>
    <row r="5" spans="1:13" x14ac:dyDescent="0.3">
      <c r="A5" s="4" t="s">
        <v>192</v>
      </c>
      <c r="B5" s="4" t="s">
        <v>106</v>
      </c>
      <c r="C5" s="4" t="str">
        <f>IFERROR(INDEX(CP_Setembro!$C$5:$C$126,MATCH("F|"&amp;B5,CP_Setembro!$A$5:$A$126,0)),"(NF não consta no CP de setembro)")</f>
        <v>CTE GERENCIAMENTO E CONSULTORIA EMPRESARIAL LTDA</v>
      </c>
      <c r="D5" s="5">
        <f>SUMIFS(Tributos!$D$4:$D$39,Tributos!$A$4:$A$39,A5,Tributos!$B$4:$B$39,B5)</f>
        <v>600</v>
      </c>
      <c r="E5" s="5">
        <f>SUMIFS(Impostos_Base!$T$4:$T$60,Impostos_Base!$O$4:$O$60,A5,Impostos_Base!$G$4:$G$60,B5)</f>
        <v>600</v>
      </c>
      <c r="F5" s="5">
        <f t="shared" si="0"/>
        <v>0</v>
      </c>
      <c r="G5" s="4">
        <f>COUNTIFS(Impostos_Base!$O$4:$O$60,A5,Impostos_Base!$G$4:$G$60,B5)</f>
        <v>1</v>
      </c>
      <c r="H5" s="5">
        <f>SUMIFS(Impostos_Base!$R$4:$R$60,Impostos_Base!$O$4:$O$60,A5,Impostos_Base!$G$4:$G$60,B5)</f>
        <v>600</v>
      </c>
      <c r="I5" s="5">
        <f>SUMIFS(Impostos_Base!$S$4:$S$60,Impostos_Base!$O$4:$O$60,A5,Impostos_Base!$G$4:$G$60,B5)</f>
        <v>0</v>
      </c>
      <c r="J5" s="4">
        <f>COUNTIFS(Impostos_Base!$O$4:$O$60,A5,Impostos_Base!$G$4:$G$60,B5,Impostos_Base!$U$4:$U$60,"Sim")</f>
        <v>0</v>
      </c>
      <c r="K5" s="4" t="str">
        <f>IFERROR(INDEX(Tributos!$F$4:$F$39,MATCH(B5,Tributos!$B$4:$B$39,0)),"-")</f>
        <v>Nesta conciliação</v>
      </c>
      <c r="L5" s="4" t="str">
        <f t="shared" si="1"/>
        <v>OK</v>
      </c>
      <c r="M5" s="4"/>
    </row>
    <row r="6" spans="1:13" x14ac:dyDescent="0.3">
      <c r="A6" s="4" t="s">
        <v>111</v>
      </c>
      <c r="B6" s="4" t="s">
        <v>106</v>
      </c>
      <c r="C6" s="4" t="str">
        <f>IFERROR(INDEX(CP_Setembro!$C$5:$C$126,MATCH("F|"&amp;B6,CP_Setembro!$A$5:$A$126,0)),"(NF não consta no CP de setembro)")</f>
        <v>CTE GERENCIAMENTO E CONSULTORIA EMPRESARIAL LTDA</v>
      </c>
      <c r="D6" s="5">
        <f>SUMIFS(Tributos!$D$4:$D$39,Tributos!$A$4:$A$39,A6,Tributos!$B$4:$B$39,B6)</f>
        <v>300</v>
      </c>
      <c r="E6" s="5">
        <f>SUMIFS(Impostos_Base!$T$4:$T$60,Impostos_Base!$O$4:$O$60,A6,Impostos_Base!$G$4:$G$60,B6)</f>
        <v>300</v>
      </c>
      <c r="F6" s="5">
        <f t="shared" si="0"/>
        <v>0</v>
      </c>
      <c r="G6" s="4">
        <f>COUNTIFS(Impostos_Base!$O$4:$O$60,A6,Impostos_Base!$G$4:$G$60,B6)</f>
        <v>1</v>
      </c>
      <c r="H6" s="5">
        <f>SUMIFS(Impostos_Base!$R$4:$R$60,Impostos_Base!$O$4:$O$60,A6,Impostos_Base!$G$4:$G$60,B6)</f>
        <v>300</v>
      </c>
      <c r="I6" s="5">
        <f>SUMIFS(Impostos_Base!$S$4:$S$60,Impostos_Base!$O$4:$O$60,A6,Impostos_Base!$G$4:$G$60,B6)</f>
        <v>0</v>
      </c>
      <c r="J6" s="4">
        <f>COUNTIFS(Impostos_Base!$O$4:$O$60,A6,Impostos_Base!$G$4:$G$60,B6,Impostos_Base!$U$4:$U$60,"Sim")</f>
        <v>0</v>
      </c>
      <c r="K6" s="4" t="str">
        <f>IFERROR(INDEX(Tributos!$F$4:$F$39,MATCH(B6,Tributos!$B$4:$B$39,0)),"-")</f>
        <v>Nesta conciliação</v>
      </c>
      <c r="L6" s="4" t="str">
        <f t="shared" si="1"/>
        <v>OK</v>
      </c>
      <c r="M6" s="4"/>
    </row>
    <row r="7" spans="1:13" x14ac:dyDescent="0.3">
      <c r="A7" s="4" t="s">
        <v>149</v>
      </c>
      <c r="B7" s="4" t="s">
        <v>106</v>
      </c>
      <c r="C7" s="4" t="str">
        <f>IFERROR(INDEX(CP_Setembro!$C$5:$C$126,MATCH("F|"&amp;B7,CP_Setembro!$A$5:$A$126,0)),"(NF não consta no CP de setembro)")</f>
        <v>CTE GERENCIAMENTO E CONSULTORIA EMPRESARIAL LTDA</v>
      </c>
      <c r="D7" s="5">
        <f>SUMIFS(Tributos!$D$4:$D$39,Tributos!$A$4:$A$39,A7,Tributos!$B$4:$B$39,B7)</f>
        <v>330</v>
      </c>
      <c r="E7" s="5">
        <f>SUMIFS(Impostos_Base!$T$4:$T$60,Impostos_Base!$O$4:$O$60,A7,Impostos_Base!$G$4:$G$60,B7)</f>
        <v>330</v>
      </c>
      <c r="F7" s="5">
        <f t="shared" si="0"/>
        <v>0</v>
      </c>
      <c r="G7" s="4">
        <f>COUNTIFS(Impostos_Base!$O$4:$O$60,A7,Impostos_Base!$G$4:$G$60,B7)</f>
        <v>1</v>
      </c>
      <c r="H7" s="5">
        <f>SUMIFS(Impostos_Base!$R$4:$R$60,Impostos_Base!$O$4:$O$60,A7,Impostos_Base!$G$4:$G$60,B7)</f>
        <v>330</v>
      </c>
      <c r="I7" s="5">
        <f>SUMIFS(Impostos_Base!$S$4:$S$60,Impostos_Base!$O$4:$O$60,A7,Impostos_Base!$G$4:$G$60,B7)</f>
        <v>0</v>
      </c>
      <c r="J7" s="4">
        <f>COUNTIFS(Impostos_Base!$O$4:$O$60,A7,Impostos_Base!$G$4:$G$60,B7,Impostos_Base!$U$4:$U$60,"Sim")</f>
        <v>0</v>
      </c>
      <c r="K7" s="4" t="str">
        <f>IFERROR(INDEX(Tributos!$F$4:$F$39,MATCH(B7,Tributos!$B$4:$B$39,0)),"-")</f>
        <v>Nesta conciliação</v>
      </c>
      <c r="L7" s="4" t="str">
        <f t="shared" si="1"/>
        <v>OK</v>
      </c>
      <c r="M7" s="4"/>
    </row>
    <row r="8" spans="1:13" x14ac:dyDescent="0.3">
      <c r="A8" s="4" t="s">
        <v>297</v>
      </c>
      <c r="B8" s="4" t="s">
        <v>298</v>
      </c>
      <c r="C8" s="4" t="str">
        <f>IFERROR(INDEX(CP_Setembro!$C$5:$C$126,MATCH("F|"&amp;B8,CP_Setembro!$A$5:$A$126,0)),"ROCONTEC CORPORATIVO LTDA (NF 179, emissão 11/08/2026)")</f>
        <v>ROCONTEC CORPORATIVO LTDA (NF 179, emissão 11/08/2026)</v>
      </c>
      <c r="D8" s="5">
        <f>SUMIFS(Tributos!$D$4:$D$39,Tributos!$A$4:$A$39,A8,Tributos!$B$4:$B$39,B8)</f>
        <v>1592.45</v>
      </c>
      <c r="E8" s="5">
        <f>SUMIFS(Impostos_Base!$T$4:$T$60,Impostos_Base!$O$4:$O$60,A8,Impostos_Base!$G$4:$G$60,B8)</f>
        <v>0</v>
      </c>
      <c r="F8" s="5">
        <f t="shared" si="0"/>
        <v>1592.45</v>
      </c>
      <c r="G8" s="4">
        <f>COUNTIFS(Impostos_Base!$O$4:$O$60,A8,Impostos_Base!$G$4:$G$60,B8)</f>
        <v>0</v>
      </c>
      <c r="H8" s="5">
        <f>SUMIFS(Impostos_Base!$R$4:$R$60,Impostos_Base!$O$4:$O$60,A8,Impostos_Base!$G$4:$G$60,B8)</f>
        <v>0</v>
      </c>
      <c r="I8" s="5">
        <f>SUMIFS(Impostos_Base!$S$4:$S$60,Impostos_Base!$O$4:$O$60,A8,Impostos_Base!$G$4:$G$60,B8)</f>
        <v>0</v>
      </c>
      <c r="J8" s="4">
        <f>COUNTIFS(Impostos_Base!$O$4:$O$60,A8,Impostos_Base!$G$4:$G$60,B8,Impostos_Base!$U$4:$U$60,"Sim")</f>
        <v>0</v>
      </c>
      <c r="K8" s="4" t="str">
        <f>IFERROR(INDEX(Tributos!$F$4:$F$39,MATCH(B8,Tributos!$B$4:$B$39,0)),"-")</f>
        <v>Lote anterior</v>
      </c>
      <c r="L8" s="4" t="str">
        <f t="shared" si="1"/>
        <v>Só no CP</v>
      </c>
      <c r="M8" s="4" t="s">
        <v>299</v>
      </c>
    </row>
    <row r="9" spans="1:13" x14ac:dyDescent="0.3">
      <c r="A9" s="4" t="s">
        <v>111</v>
      </c>
      <c r="B9" s="4" t="s">
        <v>298</v>
      </c>
      <c r="C9" s="4" t="str">
        <f>IFERROR(INDEX(CP_Setembro!$C$5:$C$126,MATCH("F|"&amp;B9,CP_Setembro!$A$5:$A$126,0)),"ROCONTEC CORPORATIVO LTDA (NF 179, emissão 11/08/2026)")</f>
        <v>ROCONTEC CORPORATIVO LTDA (NF 179, emissão 11/08/2026)</v>
      </c>
      <c r="D9" s="5">
        <f>SUMIFS(Tributos!$D$4:$D$39,Tributos!$A$4:$A$39,A9,Tributos!$B$4:$B$39,B9)</f>
        <v>513.69000000000005</v>
      </c>
      <c r="E9" s="5">
        <f>SUMIFS(Impostos_Base!$T$4:$T$60,Impostos_Base!$O$4:$O$60,A9,Impostos_Base!$G$4:$G$60,B9)</f>
        <v>0</v>
      </c>
      <c r="F9" s="5">
        <f t="shared" si="0"/>
        <v>513.69000000000005</v>
      </c>
      <c r="G9" s="4">
        <f>COUNTIFS(Impostos_Base!$O$4:$O$60,A9,Impostos_Base!$G$4:$G$60,B9)</f>
        <v>0</v>
      </c>
      <c r="H9" s="5">
        <f>SUMIFS(Impostos_Base!$R$4:$R$60,Impostos_Base!$O$4:$O$60,A9,Impostos_Base!$G$4:$G$60,B9)</f>
        <v>0</v>
      </c>
      <c r="I9" s="5">
        <f>SUMIFS(Impostos_Base!$S$4:$S$60,Impostos_Base!$O$4:$O$60,A9,Impostos_Base!$G$4:$G$60,B9)</f>
        <v>0</v>
      </c>
      <c r="J9" s="4">
        <f>COUNTIFS(Impostos_Base!$O$4:$O$60,A9,Impostos_Base!$G$4:$G$60,B9,Impostos_Base!$U$4:$U$60,"Sim")</f>
        <v>0</v>
      </c>
      <c r="K9" s="4" t="str">
        <f>IFERROR(INDEX(Tributos!$F$4:$F$39,MATCH(B9,Tributos!$B$4:$B$39,0)),"-")</f>
        <v>Lote anterior</v>
      </c>
      <c r="L9" s="4" t="str">
        <f t="shared" si="1"/>
        <v>Só no CP</v>
      </c>
      <c r="M9" s="4" t="s">
        <v>299</v>
      </c>
    </row>
    <row r="10" spans="1:13" x14ac:dyDescent="0.3">
      <c r="A10" s="4" t="s">
        <v>87</v>
      </c>
      <c r="B10" s="4" t="s">
        <v>298</v>
      </c>
      <c r="C10" s="4" t="str">
        <f>IFERROR(INDEX(CP_Setembro!$C$5:$C$126,MATCH("F|"&amp;B10,CP_Setembro!$A$5:$A$126,0)),"ROCONTEC CORPORATIVO LTDA (NF 179, emissão 11/08/2026)")</f>
        <v>ROCONTEC CORPORATIVO LTDA (NF 179, emissão 11/08/2026)</v>
      </c>
      <c r="D10" s="5">
        <f>SUMIFS(Tributos!$D$4:$D$39,Tributos!$A$4:$A$39,A10,Tributos!$B$4:$B$39,B10)</f>
        <v>1712.31</v>
      </c>
      <c r="E10" s="5">
        <f>SUMIFS(Impostos_Base!$T$4:$T$60,Impostos_Base!$O$4:$O$60,A10,Impostos_Base!$G$4:$G$60,B10)</f>
        <v>0</v>
      </c>
      <c r="F10" s="5">
        <f t="shared" si="0"/>
        <v>1712.31</v>
      </c>
      <c r="G10" s="4">
        <f>COUNTIFS(Impostos_Base!$O$4:$O$60,A10,Impostos_Base!$G$4:$G$60,B10)</f>
        <v>0</v>
      </c>
      <c r="H10" s="5">
        <f>SUMIFS(Impostos_Base!$R$4:$R$60,Impostos_Base!$O$4:$O$60,A10,Impostos_Base!$G$4:$G$60,B10)</f>
        <v>0</v>
      </c>
      <c r="I10" s="5">
        <f>SUMIFS(Impostos_Base!$S$4:$S$60,Impostos_Base!$O$4:$O$60,A10,Impostos_Base!$G$4:$G$60,B10)</f>
        <v>0</v>
      </c>
      <c r="J10" s="4">
        <f>COUNTIFS(Impostos_Base!$O$4:$O$60,A10,Impostos_Base!$G$4:$G$60,B10,Impostos_Base!$U$4:$U$60,"Sim")</f>
        <v>0</v>
      </c>
      <c r="K10" s="4" t="str">
        <f>IFERROR(INDEX(Tributos!$F$4:$F$39,MATCH(B10,Tributos!$B$4:$B$39,0)),"-")</f>
        <v>Lote anterior</v>
      </c>
      <c r="L10" s="4" t="str">
        <f t="shared" si="1"/>
        <v>Só no CP</v>
      </c>
      <c r="M10" s="4" t="s">
        <v>299</v>
      </c>
    </row>
    <row r="11" spans="1:13" x14ac:dyDescent="0.3">
      <c r="A11" s="4" t="s">
        <v>87</v>
      </c>
      <c r="B11" s="4" t="s">
        <v>157</v>
      </c>
      <c r="C11" s="4" t="str">
        <f>IFERROR(INDEX(CP_Setembro!$C$5:$C$126,MATCH("F|"&amp;B11,CP_Setembro!$A$5:$A$126,0)),"(NF não consta no CP de setembro)")</f>
        <v>RS VIGILANCIA E SEGURANCA PRIVADA E CONSERVACAO</v>
      </c>
      <c r="D11" s="5">
        <f>SUMIFS(Tributos!$D$4:$D$39,Tributos!$A$4:$A$39,A11,Tributos!$B$4:$B$39,B11)</f>
        <v>1166.6300000000001</v>
      </c>
      <c r="E11" s="5">
        <f>SUMIFS(Impostos_Base!$T$4:$T$60,Impostos_Base!$O$4:$O$60,A11,Impostos_Base!$G$4:$G$60,B11)</f>
        <v>1166.9657</v>
      </c>
      <c r="F11" s="5">
        <f t="shared" si="0"/>
        <v>-0.3357</v>
      </c>
      <c r="G11" s="4">
        <f>COUNTIFS(Impostos_Base!$O$4:$O$60,A11,Impostos_Base!$G$4:$G$60,B11)</f>
        <v>3</v>
      </c>
      <c r="H11" s="5">
        <f>SUMIFS(Impostos_Base!$R$4:$R$60,Impostos_Base!$O$4:$O$60,A11,Impostos_Base!$G$4:$G$60,B11)</f>
        <v>1166.9657</v>
      </c>
      <c r="I11" s="5">
        <f>SUMIFS(Impostos_Base!$S$4:$S$60,Impostos_Base!$O$4:$O$60,A11,Impostos_Base!$G$4:$G$60,B11)</f>
        <v>0</v>
      </c>
      <c r="J11" s="4">
        <f>COUNTIFS(Impostos_Base!$O$4:$O$60,A11,Impostos_Base!$G$4:$G$60,B11,Impostos_Base!$U$4:$U$60,"Sim")</f>
        <v>0</v>
      </c>
      <c r="K11" s="4" t="str">
        <f>IFERROR(INDEX(Tributos!$F$4:$F$39,MATCH(B11,Tributos!$B$4:$B$39,0)),"-")</f>
        <v>Nesta conciliação</v>
      </c>
      <c r="L11" s="4" t="str">
        <f t="shared" si="1"/>
        <v>Dif. de rateio</v>
      </c>
      <c r="M11" s="4" t="s">
        <v>300</v>
      </c>
    </row>
    <row r="12" spans="1:13" x14ac:dyDescent="0.3">
      <c r="A12" s="4" t="s">
        <v>224</v>
      </c>
      <c r="B12" s="4" t="s">
        <v>220</v>
      </c>
      <c r="C12" s="4" t="str">
        <f>IFERROR(INDEX(CP_Setembro!$C$5:$C$126,MATCH("F|"&amp;B12,CP_Setembro!$A$5:$A$126,0)),"PADOVANI NETO ENGENHARIA LTDA (NF 500, agosto)")</f>
        <v>PADOVANI NETO ENGENHARIA LTDA (NF 500, agosto)</v>
      </c>
      <c r="D12" s="5">
        <f>SUMIFS(Tributos!$D$4:$D$39,Tributos!$A$4:$A$39,A12,Tributos!$B$4:$B$39,B12)</f>
        <v>329</v>
      </c>
      <c r="E12" s="5">
        <f>SUMIFS(Impostos_Base!$T$4:$T$60,Impostos_Base!$O$4:$O$60,A12,Impostos_Base!$G$4:$G$60,B12)</f>
        <v>329</v>
      </c>
      <c r="F12" s="5">
        <f t="shared" si="0"/>
        <v>0</v>
      </c>
      <c r="G12" s="4">
        <f>COUNTIFS(Impostos_Base!$O$4:$O$60,A12,Impostos_Base!$G$4:$G$60,B12)</f>
        <v>1</v>
      </c>
      <c r="H12" s="5">
        <f>SUMIFS(Impostos_Base!$R$4:$R$60,Impostos_Base!$O$4:$O$60,A12,Impostos_Base!$G$4:$G$60,B12)</f>
        <v>329</v>
      </c>
      <c r="I12" s="5">
        <f>SUMIFS(Impostos_Base!$S$4:$S$60,Impostos_Base!$O$4:$O$60,A12,Impostos_Base!$G$4:$G$60,B12)</f>
        <v>0</v>
      </c>
      <c r="J12" s="4">
        <f>COUNTIFS(Impostos_Base!$O$4:$O$60,A12,Impostos_Base!$G$4:$G$60,B12,Impostos_Base!$U$4:$U$60,"Sim")</f>
        <v>0</v>
      </c>
      <c r="K12" s="4" t="str">
        <f>IFERROR(INDEX(Tributos!$F$4:$F$39,MATCH(B12,Tributos!$B$4:$B$39,0)),"-")</f>
        <v>Lote anterior</v>
      </c>
      <c r="L12" s="4" t="str">
        <f t="shared" si="1"/>
        <v>OK</v>
      </c>
      <c r="M12" s="4"/>
    </row>
    <row r="13" spans="1:13" x14ac:dyDescent="0.3">
      <c r="A13" s="4" t="s">
        <v>87</v>
      </c>
      <c r="B13" s="4" t="s">
        <v>220</v>
      </c>
      <c r="C13" s="4" t="str">
        <f>IFERROR(INDEX(CP_Setembro!$C$5:$C$126,MATCH("F|"&amp;B13,CP_Setembro!$A$5:$A$126,0)),"PADOVANI NETO ENGENHARIA LTDA (NF 500, agosto)")</f>
        <v>PADOVANI NETO ENGENHARIA LTDA (NF 500, agosto)</v>
      </c>
      <c r="D13" s="5">
        <f>SUMIFS(Tributos!$D$4:$D$39,Tributos!$A$4:$A$39,A13,Tributos!$B$4:$B$39,B13)</f>
        <v>470</v>
      </c>
      <c r="E13" s="5">
        <f>SUMIFS(Impostos_Base!$T$4:$T$60,Impostos_Base!$O$4:$O$60,A13,Impostos_Base!$G$4:$G$60,B13)</f>
        <v>470</v>
      </c>
      <c r="F13" s="5">
        <f t="shared" si="0"/>
        <v>0</v>
      </c>
      <c r="G13" s="4">
        <f>COUNTIFS(Impostos_Base!$O$4:$O$60,A13,Impostos_Base!$G$4:$G$60,B13)</f>
        <v>1</v>
      </c>
      <c r="H13" s="5">
        <f>SUMIFS(Impostos_Base!$R$4:$R$60,Impostos_Base!$O$4:$O$60,A13,Impostos_Base!$G$4:$G$60,B13)</f>
        <v>470</v>
      </c>
      <c r="I13" s="5">
        <f>SUMIFS(Impostos_Base!$S$4:$S$60,Impostos_Base!$O$4:$O$60,A13,Impostos_Base!$G$4:$G$60,B13)</f>
        <v>0</v>
      </c>
      <c r="J13" s="4">
        <f>COUNTIFS(Impostos_Base!$O$4:$O$60,A13,Impostos_Base!$G$4:$G$60,B13,Impostos_Base!$U$4:$U$60,"Sim")</f>
        <v>1</v>
      </c>
      <c r="K13" s="4" t="str">
        <f>IFERROR(INDEX(Tributos!$F$4:$F$39,MATCH(B13,Tributos!$B$4:$B$39,0)),"-")</f>
        <v>Lote anterior</v>
      </c>
      <c r="L13" s="4" t="str">
        <f t="shared" si="1"/>
        <v>OK</v>
      </c>
      <c r="M13" s="4"/>
    </row>
    <row r="14" spans="1:13" x14ac:dyDescent="0.3">
      <c r="A14" s="4" t="s">
        <v>87</v>
      </c>
      <c r="B14" s="4" t="s">
        <v>179</v>
      </c>
      <c r="C14" s="4" t="str">
        <f>IFERROR(INDEX(CP_Setembro!$C$5:$C$126,MATCH("F|"&amp;B14,CP_Setembro!$A$5:$A$126,0)),"(NF não consta no CP de setembro)")</f>
        <v>BRUNO GOMES FERREIRA</v>
      </c>
      <c r="D14" s="5">
        <f>SUMIFS(Tributos!$D$4:$D$39,Tributos!$A$4:$A$39,A14,Tributos!$B$4:$B$39,B14)</f>
        <v>42.27</v>
      </c>
      <c r="E14" s="5">
        <f>SUMIFS(Impostos_Base!$T$4:$T$60,Impostos_Base!$O$4:$O$60,A14,Impostos_Base!$G$4:$G$60,B14)</f>
        <v>42.27</v>
      </c>
      <c r="F14" s="5">
        <f t="shared" si="0"/>
        <v>0</v>
      </c>
      <c r="G14" s="4">
        <f>COUNTIFS(Impostos_Base!$O$4:$O$60,A14,Impostos_Base!$G$4:$G$60,B14)</f>
        <v>1</v>
      </c>
      <c r="H14" s="5">
        <f>SUMIFS(Impostos_Base!$R$4:$R$60,Impostos_Base!$O$4:$O$60,A14,Impostos_Base!$G$4:$G$60,B14)</f>
        <v>42.27</v>
      </c>
      <c r="I14" s="5">
        <f>SUMIFS(Impostos_Base!$S$4:$S$60,Impostos_Base!$O$4:$O$60,A14,Impostos_Base!$G$4:$G$60,B14)</f>
        <v>0</v>
      </c>
      <c r="J14" s="4">
        <f>COUNTIFS(Impostos_Base!$O$4:$O$60,A14,Impostos_Base!$G$4:$G$60,B14,Impostos_Base!$U$4:$U$60,"Sim")</f>
        <v>0</v>
      </c>
      <c r="K14" s="4" t="str">
        <f>IFERROR(INDEX(Tributos!$F$4:$F$39,MATCH(B14,Tributos!$B$4:$B$39,0)),"-")</f>
        <v>Nesta conciliação</v>
      </c>
      <c r="L14" s="4" t="str">
        <f t="shared" si="1"/>
        <v>OK</v>
      </c>
      <c r="M14" s="4"/>
    </row>
    <row r="15" spans="1:13" x14ac:dyDescent="0.3">
      <c r="A15" s="4" t="s">
        <v>87</v>
      </c>
      <c r="B15" s="4" t="s">
        <v>96</v>
      </c>
      <c r="C15" s="4" t="str">
        <f>IFERROR(INDEX(CP_Setembro!$C$5:$C$126,MATCH("F|"&amp;B15,CP_Setembro!$A$5:$A$126,0)),"(NF não consta no CP de setembro)")</f>
        <v>SOLOFIX CONTENCOES E ENGENHARIA LTDA</v>
      </c>
      <c r="D15" s="5">
        <f>SUMIFS(Tributos!$D$4:$D$39,Tributos!$A$4:$A$39,A15,Tributos!$B$4:$B$39,B15)</f>
        <v>11811.83</v>
      </c>
      <c r="E15" s="5">
        <f>SUMIFS(Impostos_Base!$T$4:$T$60,Impostos_Base!$O$4:$O$60,A15,Impostos_Base!$G$4:$G$60,B15)</f>
        <v>11811.830099999997</v>
      </c>
      <c r="F15" s="5">
        <f t="shared" si="0"/>
        <v>-1E-4</v>
      </c>
      <c r="G15" s="4">
        <f>COUNTIFS(Impostos_Base!$O$4:$O$60,A15,Impostos_Base!$G$4:$G$60,B15)</f>
        <v>14</v>
      </c>
      <c r="H15" s="5">
        <f>SUMIFS(Impostos_Base!$R$4:$R$60,Impostos_Base!$O$4:$O$60,A15,Impostos_Base!$G$4:$G$60,B15)</f>
        <v>11811.830099999997</v>
      </c>
      <c r="I15" s="5">
        <f>SUMIFS(Impostos_Base!$S$4:$S$60,Impostos_Base!$O$4:$O$60,A15,Impostos_Base!$G$4:$G$60,B15)</f>
        <v>0</v>
      </c>
      <c r="J15" s="4">
        <f>COUNTIFS(Impostos_Base!$O$4:$O$60,A15,Impostos_Base!$G$4:$G$60,B15,Impostos_Base!$U$4:$U$60,"Sim")</f>
        <v>0</v>
      </c>
      <c r="K15" s="4" t="str">
        <f>IFERROR(INDEX(Tributos!$F$4:$F$39,MATCH(B15,Tributos!$B$4:$B$39,0)),"-")</f>
        <v>Nesta conciliação</v>
      </c>
      <c r="L15" s="4" t="str">
        <f t="shared" si="1"/>
        <v>OK</v>
      </c>
      <c r="M15" s="4"/>
    </row>
    <row r="16" spans="1:13" x14ac:dyDescent="0.3">
      <c r="A16" s="4" t="s">
        <v>224</v>
      </c>
      <c r="B16" s="4" t="s">
        <v>82</v>
      </c>
      <c r="C16" s="4" t="str">
        <f>IFERROR(INDEX(CP_Setembro!$C$5:$C$126,MATCH("F|"&amp;B16,CP_Setembro!$A$5:$A$126,0)),"RILE CONSTRUCOES ELETRICAS LTDA (NF 5238, agosto)")</f>
        <v>RILE CONSTRUCOES ELETRICAS LTDA (NF 5238, agosto)</v>
      </c>
      <c r="D16" s="5">
        <f>SUMIFS(Tributos!$D$4:$D$39,Tributos!$A$4:$A$39,A16,Tributos!$B$4:$B$39,B16)</f>
        <v>350</v>
      </c>
      <c r="E16" s="5">
        <f>SUMIFS(Impostos_Base!$T$4:$T$60,Impostos_Base!$O$4:$O$60,A16,Impostos_Base!$G$4:$G$60,B16)</f>
        <v>350</v>
      </c>
      <c r="F16" s="5">
        <f t="shared" si="0"/>
        <v>0</v>
      </c>
      <c r="G16" s="4">
        <f>COUNTIFS(Impostos_Base!$O$4:$O$60,A16,Impostos_Base!$G$4:$G$60,B16)</f>
        <v>4</v>
      </c>
      <c r="H16" s="5">
        <f>SUMIFS(Impostos_Base!$R$4:$R$60,Impostos_Base!$O$4:$O$60,A16,Impostos_Base!$G$4:$G$60,B16)</f>
        <v>350</v>
      </c>
      <c r="I16" s="5">
        <f>SUMIFS(Impostos_Base!$S$4:$S$60,Impostos_Base!$O$4:$O$60,A16,Impostos_Base!$G$4:$G$60,B16)</f>
        <v>0</v>
      </c>
      <c r="J16" s="4">
        <f>COUNTIFS(Impostos_Base!$O$4:$O$60,A16,Impostos_Base!$G$4:$G$60,B16,Impostos_Base!$U$4:$U$60,"Sim")</f>
        <v>0</v>
      </c>
      <c r="K16" s="4" t="str">
        <f>IFERROR(INDEX(Tributos!$F$4:$F$39,MATCH(B16,Tributos!$B$4:$B$39,0)),"-")</f>
        <v>Lote anterior</v>
      </c>
      <c r="L16" s="4" t="str">
        <f t="shared" si="1"/>
        <v>OK</v>
      </c>
      <c r="M16" s="4"/>
    </row>
    <row r="17" spans="1:13" x14ac:dyDescent="0.3">
      <c r="A17" s="4" t="s">
        <v>87</v>
      </c>
      <c r="B17" s="4" t="s">
        <v>82</v>
      </c>
      <c r="C17" s="4" t="str">
        <f>IFERROR(INDEX(CP_Setembro!$C$5:$C$126,MATCH("F|"&amp;B17,CP_Setembro!$A$5:$A$126,0)),"RILE CONSTRUCOES ELETRICAS LTDA (NF 5238, agosto)")</f>
        <v>RILE CONSTRUCOES ELETRICAS LTDA (NF 5238, agosto)</v>
      </c>
      <c r="D17" s="5">
        <f>SUMIFS(Tributos!$D$4:$D$39,Tributos!$A$4:$A$39,A17,Tributos!$B$4:$B$39,B17)</f>
        <v>500</v>
      </c>
      <c r="E17" s="5">
        <f>SUMIFS(Impostos_Base!$T$4:$T$60,Impostos_Base!$O$4:$O$60,A17,Impostos_Base!$G$4:$G$60,B17)</f>
        <v>500</v>
      </c>
      <c r="F17" s="5">
        <f t="shared" si="0"/>
        <v>0</v>
      </c>
      <c r="G17" s="4">
        <f>COUNTIFS(Impostos_Base!$O$4:$O$60,A17,Impostos_Base!$G$4:$G$60,B17)</f>
        <v>4</v>
      </c>
      <c r="H17" s="5">
        <f>SUMIFS(Impostos_Base!$R$4:$R$60,Impostos_Base!$O$4:$O$60,A17,Impostos_Base!$G$4:$G$60,B17)</f>
        <v>500</v>
      </c>
      <c r="I17" s="5">
        <f>SUMIFS(Impostos_Base!$S$4:$S$60,Impostos_Base!$O$4:$O$60,A17,Impostos_Base!$G$4:$G$60,B17)</f>
        <v>0</v>
      </c>
      <c r="J17" s="4">
        <f>COUNTIFS(Impostos_Base!$O$4:$O$60,A17,Impostos_Base!$G$4:$G$60,B17,Impostos_Base!$U$4:$U$60,"Sim")</f>
        <v>4</v>
      </c>
      <c r="K17" s="4" t="str">
        <f>IFERROR(INDEX(Tributos!$F$4:$F$39,MATCH(B17,Tributos!$B$4:$B$39,0)),"-")</f>
        <v>Lote anterior</v>
      </c>
      <c r="L17" s="4" t="str">
        <f t="shared" si="1"/>
        <v>OK</v>
      </c>
      <c r="M17" s="4"/>
    </row>
    <row r="18" spans="1:13" x14ac:dyDescent="0.3">
      <c r="A18" s="4" t="s">
        <v>224</v>
      </c>
      <c r="B18" s="4" t="s">
        <v>257</v>
      </c>
      <c r="C18" s="4" t="str">
        <f>IFERROR(INDEX(CP_Setembro!$C$5:$C$126,MATCH("F|"&amp;B18,CP_Setembro!$A$5:$A$126,0)),"(NF não consta no CP de setembro)")</f>
        <v>RILE CONSTRUCOES ELETRICAS LTDA</v>
      </c>
      <c r="D18" s="5">
        <f>SUMIFS(Tributos!$D$4:$D$39,Tributos!$A$4:$A$39,A18,Tributos!$B$4:$B$39,B18)</f>
        <v>93.57</v>
      </c>
      <c r="E18" s="5">
        <f>SUMIFS(Impostos_Base!$T$4:$T$60,Impostos_Base!$O$4:$O$60,A18,Impostos_Base!$G$4:$G$60,B18)</f>
        <v>93.57</v>
      </c>
      <c r="F18" s="5">
        <f t="shared" si="0"/>
        <v>0</v>
      </c>
      <c r="G18" s="4">
        <f>COUNTIFS(Impostos_Base!$O$4:$O$60,A18,Impostos_Base!$G$4:$G$60,B18)</f>
        <v>2</v>
      </c>
      <c r="H18" s="5">
        <f>SUMIFS(Impostos_Base!$R$4:$R$60,Impostos_Base!$O$4:$O$60,A18,Impostos_Base!$G$4:$G$60,B18)</f>
        <v>93.57</v>
      </c>
      <c r="I18" s="5">
        <f>SUMIFS(Impostos_Base!$S$4:$S$60,Impostos_Base!$O$4:$O$60,A18,Impostos_Base!$G$4:$G$60,B18)</f>
        <v>0</v>
      </c>
      <c r="J18" s="4">
        <f>COUNTIFS(Impostos_Base!$O$4:$O$60,A18,Impostos_Base!$G$4:$G$60,B18,Impostos_Base!$U$4:$U$60,"Sim")</f>
        <v>0</v>
      </c>
      <c r="K18" s="4" t="str">
        <f>IFERROR(INDEX(Tributos!$F$4:$F$39,MATCH(B18,Tributos!$B$4:$B$39,0)),"-")</f>
        <v>Nesta conciliação</v>
      </c>
      <c r="L18" s="4" t="str">
        <f t="shared" si="1"/>
        <v>OK</v>
      </c>
      <c r="M18" s="4"/>
    </row>
    <row r="19" spans="1:13" x14ac:dyDescent="0.3">
      <c r="A19" s="4" t="s">
        <v>87</v>
      </c>
      <c r="B19" s="4" t="s">
        <v>257</v>
      </c>
      <c r="C19" s="4" t="str">
        <f>IFERROR(INDEX(CP_Setembro!$C$5:$C$126,MATCH("F|"&amp;B19,CP_Setembro!$A$5:$A$126,0)),"(NF não consta no CP de setembro)")</f>
        <v>RILE CONSTRUCOES ELETRICAS LTDA</v>
      </c>
      <c r="D19" s="5">
        <f>SUMIFS(Tributos!$D$4:$D$39,Tributos!$A$4:$A$39,A19,Tributos!$B$4:$B$39,B19)</f>
        <v>133.63999999999999</v>
      </c>
      <c r="E19" s="5">
        <f>SUMIFS(Impostos_Base!$T$4:$T$60,Impostos_Base!$O$4:$O$60,A19,Impostos_Base!$G$4:$G$60,B19)</f>
        <v>133.64000000000001</v>
      </c>
      <c r="F19" s="5">
        <f t="shared" si="0"/>
        <v>0</v>
      </c>
      <c r="G19" s="4">
        <f>COUNTIFS(Impostos_Base!$O$4:$O$60,A19,Impostos_Base!$G$4:$G$60,B19)</f>
        <v>2</v>
      </c>
      <c r="H19" s="5">
        <f>SUMIFS(Impostos_Base!$R$4:$R$60,Impostos_Base!$O$4:$O$60,A19,Impostos_Base!$G$4:$G$60,B19)</f>
        <v>133.64000000000001</v>
      </c>
      <c r="I19" s="5">
        <f>SUMIFS(Impostos_Base!$S$4:$S$60,Impostos_Base!$O$4:$O$60,A19,Impostos_Base!$G$4:$G$60,B19)</f>
        <v>0</v>
      </c>
      <c r="J19" s="4">
        <f>COUNTIFS(Impostos_Base!$O$4:$O$60,A19,Impostos_Base!$G$4:$G$60,B19,Impostos_Base!$U$4:$U$60,"Sim")</f>
        <v>0</v>
      </c>
      <c r="K19" s="4" t="str">
        <f>IFERROR(INDEX(Tributos!$F$4:$F$39,MATCH(B19,Tributos!$B$4:$B$39,0)),"-")</f>
        <v>Nesta conciliação</v>
      </c>
      <c r="L19" s="4" t="str">
        <f t="shared" si="1"/>
        <v>OK</v>
      </c>
      <c r="M19" s="4"/>
    </row>
    <row r="20" spans="1:13" x14ac:dyDescent="0.3">
      <c r="A20" s="4" t="s">
        <v>224</v>
      </c>
      <c r="B20" s="4" t="s">
        <v>251</v>
      </c>
      <c r="C20" s="4" t="str">
        <f>IFERROR(INDEX(CP_Setembro!$C$5:$C$126,MATCH("F|"&amp;B20,CP_Setembro!$A$5:$A$126,0)),"(NF não consta no CP de setembro)")</f>
        <v>ROCONTEC CESSAO DE MAO DE OBRA LTDA (Fornecedor)</v>
      </c>
      <c r="D20" s="5">
        <f>SUMIFS(Tributos!$D$4:$D$39,Tributos!$A$4:$A$39,A20,Tributos!$B$4:$B$39,B20)</f>
        <v>4355.09</v>
      </c>
      <c r="E20" s="5">
        <f>SUMIFS(Impostos_Base!$T$4:$T$60,Impostos_Base!$O$4:$O$60,A20,Impostos_Base!$G$4:$G$60,B20)</f>
        <v>4355.09</v>
      </c>
      <c r="F20" s="5">
        <f t="shared" si="0"/>
        <v>0</v>
      </c>
      <c r="G20" s="4">
        <f>COUNTIFS(Impostos_Base!$O$4:$O$60,A20,Impostos_Base!$G$4:$G$60,B20)</f>
        <v>1</v>
      </c>
      <c r="H20" s="5">
        <f>SUMIFS(Impostos_Base!$R$4:$R$60,Impostos_Base!$O$4:$O$60,A20,Impostos_Base!$G$4:$G$60,B20)</f>
        <v>4355.09</v>
      </c>
      <c r="I20" s="5">
        <f>SUMIFS(Impostos_Base!$S$4:$S$60,Impostos_Base!$O$4:$O$60,A20,Impostos_Base!$G$4:$G$60,B20)</f>
        <v>0</v>
      </c>
      <c r="J20" s="4">
        <f>COUNTIFS(Impostos_Base!$O$4:$O$60,A20,Impostos_Base!$G$4:$G$60,B20,Impostos_Base!$U$4:$U$60,"Sim")</f>
        <v>0</v>
      </c>
      <c r="K20" s="4" t="str">
        <f>IFERROR(INDEX(Tributos!$F$4:$F$39,MATCH(B20,Tributos!$B$4:$B$39,0)),"-")</f>
        <v>Nesta conciliação</v>
      </c>
      <c r="L20" s="4" t="str">
        <f t="shared" si="1"/>
        <v>OK</v>
      </c>
      <c r="M20" s="4"/>
    </row>
    <row r="21" spans="1:13" x14ac:dyDescent="0.3">
      <c r="A21" s="4" t="s">
        <v>87</v>
      </c>
      <c r="B21" s="4" t="s">
        <v>251</v>
      </c>
      <c r="C21" s="4" t="str">
        <f>IFERROR(INDEX(CP_Setembro!$C$5:$C$126,MATCH("F|"&amp;B21,CP_Setembro!$A$5:$A$126,0)),"(NF não consta no CP de setembro)")</f>
        <v>ROCONTEC CESSAO DE MAO DE OBRA LTDA (Fornecedor)</v>
      </c>
      <c r="D21" s="5">
        <f>SUMIFS(Tributos!$D$4:$D$39,Tributos!$A$4:$A$39,A21,Tributos!$B$4:$B$39,B21)</f>
        <v>6221.56</v>
      </c>
      <c r="E21" s="5">
        <f>SUMIFS(Impostos_Base!$T$4:$T$60,Impostos_Base!$O$4:$O$60,A21,Impostos_Base!$G$4:$G$60,B21)</f>
        <v>6221.56</v>
      </c>
      <c r="F21" s="5">
        <f t="shared" si="0"/>
        <v>0</v>
      </c>
      <c r="G21" s="4">
        <f>COUNTIFS(Impostos_Base!$O$4:$O$60,A21,Impostos_Base!$G$4:$G$60,B21)</f>
        <v>1</v>
      </c>
      <c r="H21" s="5">
        <f>SUMIFS(Impostos_Base!$R$4:$R$60,Impostos_Base!$O$4:$O$60,A21,Impostos_Base!$G$4:$G$60,B21)</f>
        <v>6221.56</v>
      </c>
      <c r="I21" s="5">
        <f>SUMIFS(Impostos_Base!$S$4:$S$60,Impostos_Base!$O$4:$O$60,A21,Impostos_Base!$G$4:$G$60,B21)</f>
        <v>0</v>
      </c>
      <c r="J21" s="4">
        <f>COUNTIFS(Impostos_Base!$O$4:$O$60,A21,Impostos_Base!$G$4:$G$60,B21,Impostos_Base!$U$4:$U$60,"Sim")</f>
        <v>0</v>
      </c>
      <c r="K21" s="4" t="str">
        <f>IFERROR(INDEX(Tributos!$F$4:$F$39,MATCH(B21,Tributos!$B$4:$B$39,0)),"-")</f>
        <v>Nesta conciliação</v>
      </c>
      <c r="L21" s="4" t="str">
        <f t="shared" si="1"/>
        <v>OK</v>
      </c>
      <c r="M21" s="4"/>
    </row>
    <row r="22" spans="1:13" x14ac:dyDescent="0.3">
      <c r="A22" s="4" t="s">
        <v>192</v>
      </c>
      <c r="B22" s="4" t="s">
        <v>145</v>
      </c>
      <c r="C22" s="4" t="str">
        <f>IFERROR(INDEX(CP_Setembro!$C$5:$C$126,MATCH("F|"&amp;B22,CP_Setembro!$A$5:$A$126,0)),"(NF não consta no CP de setembro)")</f>
        <v>PLANA REFLORESTAMENTO LTDA</v>
      </c>
      <c r="D22" s="5">
        <f>SUMIFS(Tributos!$D$4:$D$39,Tributos!$A$4:$A$39,A22,Tributos!$B$4:$B$39,B22)</f>
        <v>21.6</v>
      </c>
      <c r="E22" s="5">
        <f>SUMIFS(Impostos_Base!$T$4:$T$60,Impostos_Base!$O$4:$O$60,A22,Impostos_Base!$G$4:$G$60,B22)</f>
        <v>21.6</v>
      </c>
      <c r="F22" s="5">
        <f t="shared" si="0"/>
        <v>0</v>
      </c>
      <c r="G22" s="4">
        <f>COUNTIFS(Impostos_Base!$O$4:$O$60,A22,Impostos_Base!$G$4:$G$60,B22)</f>
        <v>1</v>
      </c>
      <c r="H22" s="5">
        <f>SUMIFS(Impostos_Base!$R$4:$R$60,Impostos_Base!$O$4:$O$60,A22,Impostos_Base!$G$4:$G$60,B22)</f>
        <v>21.6</v>
      </c>
      <c r="I22" s="5">
        <f>SUMIFS(Impostos_Base!$S$4:$S$60,Impostos_Base!$O$4:$O$60,A22,Impostos_Base!$G$4:$G$60,B22)</f>
        <v>0</v>
      </c>
      <c r="J22" s="4">
        <f>COUNTIFS(Impostos_Base!$O$4:$O$60,A22,Impostos_Base!$G$4:$G$60,B22,Impostos_Base!$U$4:$U$60,"Sim")</f>
        <v>0</v>
      </c>
      <c r="K22" s="4" t="str">
        <f>IFERROR(INDEX(Tributos!$F$4:$F$39,MATCH(B22,Tributos!$B$4:$B$39,0)),"-")</f>
        <v>Nesta conciliação</v>
      </c>
      <c r="L22" s="4" t="str">
        <f t="shared" si="1"/>
        <v>OK</v>
      </c>
      <c r="M22" s="4"/>
    </row>
    <row r="23" spans="1:13" x14ac:dyDescent="0.3">
      <c r="A23" s="4" t="s">
        <v>214</v>
      </c>
      <c r="B23" s="4" t="s">
        <v>145</v>
      </c>
      <c r="C23" s="4" t="str">
        <f>IFERROR(INDEX(CP_Setembro!$C$5:$C$126,MATCH("F|"&amp;B23,CP_Setembro!$A$5:$A$126,0)),"(NF não consta no CP de setembro)")</f>
        <v>PLANA REFLORESTAMENTO LTDA</v>
      </c>
      <c r="D23" s="5">
        <f>SUMIFS(Tributos!$D$4:$D$39,Tributos!$A$4:$A$39,A23,Tributos!$B$4:$B$39,B23)</f>
        <v>7.2</v>
      </c>
      <c r="E23" s="5">
        <f>SUMIFS(Impostos_Base!$T$4:$T$60,Impostos_Base!$O$4:$O$60,A23,Impostos_Base!$G$4:$G$60,B23)</f>
        <v>7.2</v>
      </c>
      <c r="F23" s="5">
        <f t="shared" si="0"/>
        <v>0</v>
      </c>
      <c r="G23" s="4">
        <f>COUNTIFS(Impostos_Base!$O$4:$O$60,A23,Impostos_Base!$G$4:$G$60,B23)</f>
        <v>1</v>
      </c>
      <c r="H23" s="5">
        <f>SUMIFS(Impostos_Base!$R$4:$R$60,Impostos_Base!$O$4:$O$60,A23,Impostos_Base!$G$4:$G$60,B23)</f>
        <v>7.2</v>
      </c>
      <c r="I23" s="5">
        <f>SUMIFS(Impostos_Base!$S$4:$S$60,Impostos_Base!$O$4:$O$60,A23,Impostos_Base!$G$4:$G$60,B23)</f>
        <v>0</v>
      </c>
      <c r="J23" s="4">
        <f>COUNTIFS(Impostos_Base!$O$4:$O$60,A23,Impostos_Base!$G$4:$G$60,B23,Impostos_Base!$U$4:$U$60,"Sim")</f>
        <v>0</v>
      </c>
      <c r="K23" s="4" t="str">
        <f>IFERROR(INDEX(Tributos!$F$4:$F$39,MATCH(B23,Tributos!$B$4:$B$39,0)),"-")</f>
        <v>Nesta conciliação</v>
      </c>
      <c r="L23" s="4" t="str">
        <f t="shared" si="1"/>
        <v>OK</v>
      </c>
      <c r="M23" s="4"/>
    </row>
    <row r="24" spans="1:13" x14ac:dyDescent="0.3">
      <c r="A24" s="4" t="s">
        <v>111</v>
      </c>
      <c r="B24" s="4" t="s">
        <v>145</v>
      </c>
      <c r="C24" s="4" t="str">
        <f>IFERROR(INDEX(CP_Setembro!$C$5:$C$126,MATCH("F|"&amp;B24,CP_Setembro!$A$5:$A$126,0)),"(NF não consta no CP de setembro)")</f>
        <v>PLANA REFLORESTAMENTO LTDA</v>
      </c>
      <c r="D24" s="5">
        <f>SUMIFS(Tributos!$D$4:$D$39,Tributos!$A$4:$A$39,A24,Tributos!$B$4:$B$39,B24)</f>
        <v>10.8</v>
      </c>
      <c r="E24" s="5">
        <f>SUMIFS(Impostos_Base!$T$4:$T$60,Impostos_Base!$O$4:$O$60,A24,Impostos_Base!$G$4:$G$60,B24)</f>
        <v>10.8</v>
      </c>
      <c r="F24" s="5">
        <f t="shared" si="0"/>
        <v>0</v>
      </c>
      <c r="G24" s="4">
        <f>COUNTIFS(Impostos_Base!$O$4:$O$60,A24,Impostos_Base!$G$4:$G$60,B24)</f>
        <v>1</v>
      </c>
      <c r="H24" s="5">
        <f>SUMIFS(Impostos_Base!$R$4:$R$60,Impostos_Base!$O$4:$O$60,A24,Impostos_Base!$G$4:$G$60,B24)</f>
        <v>10.8</v>
      </c>
      <c r="I24" s="5">
        <f>SUMIFS(Impostos_Base!$S$4:$S$60,Impostos_Base!$O$4:$O$60,A24,Impostos_Base!$G$4:$G$60,B24)</f>
        <v>0</v>
      </c>
      <c r="J24" s="4">
        <f>COUNTIFS(Impostos_Base!$O$4:$O$60,A24,Impostos_Base!$G$4:$G$60,B24,Impostos_Base!$U$4:$U$60,"Sim")</f>
        <v>0</v>
      </c>
      <c r="K24" s="4" t="str">
        <f>IFERROR(INDEX(Tributos!$F$4:$F$39,MATCH(B24,Tributos!$B$4:$B$39,0)),"-")</f>
        <v>Nesta conciliação</v>
      </c>
      <c r="L24" s="4" t="str">
        <f t="shared" si="1"/>
        <v>OK</v>
      </c>
      <c r="M24" s="4"/>
    </row>
    <row r="25" spans="1:13" x14ac:dyDescent="0.3">
      <c r="A25" s="4" t="s">
        <v>87</v>
      </c>
      <c r="B25" s="4" t="s">
        <v>145</v>
      </c>
      <c r="C25" s="4" t="str">
        <f>IFERROR(INDEX(CP_Setembro!$C$5:$C$126,MATCH("F|"&amp;B25,CP_Setembro!$A$5:$A$126,0)),"(NF não consta no CP de setembro)")</f>
        <v>PLANA REFLORESTAMENTO LTDA</v>
      </c>
      <c r="D25" s="5">
        <f>SUMIFS(Tributos!$D$4:$D$39,Tributos!$A$4:$A$39,A25,Tributos!$B$4:$B$39,B25)</f>
        <v>36</v>
      </c>
      <c r="E25" s="5">
        <f>SUMIFS(Impostos_Base!$T$4:$T$60,Impostos_Base!$O$4:$O$60,A25,Impostos_Base!$G$4:$G$60,B25)</f>
        <v>36</v>
      </c>
      <c r="F25" s="5">
        <f t="shared" si="0"/>
        <v>0</v>
      </c>
      <c r="G25" s="4">
        <f>COUNTIFS(Impostos_Base!$O$4:$O$60,A25,Impostos_Base!$G$4:$G$60,B25)</f>
        <v>1</v>
      </c>
      <c r="H25" s="5">
        <f>SUMIFS(Impostos_Base!$R$4:$R$60,Impostos_Base!$O$4:$O$60,A25,Impostos_Base!$G$4:$G$60,B25)</f>
        <v>36</v>
      </c>
      <c r="I25" s="5">
        <f>SUMIFS(Impostos_Base!$S$4:$S$60,Impostos_Base!$O$4:$O$60,A25,Impostos_Base!$G$4:$G$60,B25)</f>
        <v>0</v>
      </c>
      <c r="J25" s="4">
        <f>COUNTIFS(Impostos_Base!$O$4:$O$60,A25,Impostos_Base!$G$4:$G$60,B25,Impostos_Base!$U$4:$U$60,"Sim")</f>
        <v>0</v>
      </c>
      <c r="K25" s="4" t="str">
        <f>IFERROR(INDEX(Tributos!$F$4:$F$39,MATCH(B25,Tributos!$B$4:$B$39,0)),"-")</f>
        <v>Nesta conciliação</v>
      </c>
      <c r="L25" s="4" t="str">
        <f t="shared" si="1"/>
        <v>OK</v>
      </c>
      <c r="M25" s="4"/>
    </row>
    <row r="26" spans="1:13" x14ac:dyDescent="0.3">
      <c r="A26" s="4" t="s">
        <v>149</v>
      </c>
      <c r="B26" s="4" t="s">
        <v>145</v>
      </c>
      <c r="C26" s="4" t="str">
        <f>IFERROR(INDEX(CP_Setembro!$C$5:$C$126,MATCH("F|"&amp;B26,CP_Setembro!$A$5:$A$126,0)),"(NF não consta no CP de setembro)")</f>
        <v>PLANA REFLORESTAMENTO LTDA</v>
      </c>
      <c r="D26" s="5">
        <f>SUMIFS(Tributos!$D$4:$D$39,Tributos!$A$4:$A$39,A26,Tributos!$B$4:$B$39,B26)</f>
        <v>4.68</v>
      </c>
      <c r="E26" s="5">
        <f>SUMIFS(Impostos_Base!$T$4:$T$60,Impostos_Base!$O$4:$O$60,A26,Impostos_Base!$G$4:$G$60,B26)</f>
        <v>4.68</v>
      </c>
      <c r="F26" s="5">
        <f t="shared" si="0"/>
        <v>0</v>
      </c>
      <c r="G26" s="4">
        <f>COUNTIFS(Impostos_Base!$O$4:$O$60,A26,Impostos_Base!$G$4:$G$60,B26)</f>
        <v>1</v>
      </c>
      <c r="H26" s="5">
        <f>SUMIFS(Impostos_Base!$R$4:$R$60,Impostos_Base!$O$4:$O$60,A26,Impostos_Base!$G$4:$G$60,B26)</f>
        <v>4.68</v>
      </c>
      <c r="I26" s="5">
        <f>SUMIFS(Impostos_Base!$S$4:$S$60,Impostos_Base!$O$4:$O$60,A26,Impostos_Base!$G$4:$G$60,B26)</f>
        <v>0</v>
      </c>
      <c r="J26" s="4">
        <f>COUNTIFS(Impostos_Base!$O$4:$O$60,A26,Impostos_Base!$G$4:$G$60,B26,Impostos_Base!$U$4:$U$60,"Sim")</f>
        <v>0</v>
      </c>
      <c r="K26" s="4" t="str">
        <f>IFERROR(INDEX(Tributos!$F$4:$F$39,MATCH(B26,Tributos!$B$4:$B$39,0)),"-")</f>
        <v>Nesta conciliação</v>
      </c>
      <c r="L26" s="4" t="str">
        <f t="shared" si="1"/>
        <v>OK</v>
      </c>
      <c r="M26" s="4"/>
    </row>
    <row r="27" spans="1:13" x14ac:dyDescent="0.3">
      <c r="A27" s="4" t="s">
        <v>87</v>
      </c>
      <c r="B27" s="4" t="s">
        <v>118</v>
      </c>
      <c r="C27" s="4" t="str">
        <f>IFERROR(INDEX(CP_Setembro!$C$5:$C$126,MATCH("F|"&amp;B27,CP_Setembro!$A$5:$A$126,0)),"(NF não consta no CP de setembro)")</f>
        <v>CONCRELONGO SERVICOS DE CONCRETAGEM LTDA</v>
      </c>
      <c r="D27" s="5">
        <f>SUMIFS(Tributos!$D$4:$D$39,Tributos!$A$4:$A$39,A27,Tributos!$B$4:$B$39,B27)</f>
        <v>227.06</v>
      </c>
      <c r="E27" s="5">
        <f>SUMIFS(Impostos_Base!$T$4:$T$60,Impostos_Base!$O$4:$O$60,A27,Impostos_Base!$G$4:$G$60,B27)</f>
        <v>227.06</v>
      </c>
      <c r="F27" s="5">
        <f t="shared" si="0"/>
        <v>0</v>
      </c>
      <c r="G27" s="4">
        <f>COUNTIFS(Impostos_Base!$O$4:$O$60,A27,Impostos_Base!$G$4:$G$60,B27)</f>
        <v>1</v>
      </c>
      <c r="H27" s="5">
        <f>SUMIFS(Impostos_Base!$R$4:$R$60,Impostos_Base!$O$4:$O$60,A27,Impostos_Base!$G$4:$G$60,B27)</f>
        <v>227.06</v>
      </c>
      <c r="I27" s="5">
        <f>SUMIFS(Impostos_Base!$S$4:$S$60,Impostos_Base!$O$4:$O$60,A27,Impostos_Base!$G$4:$G$60,B27)</f>
        <v>0</v>
      </c>
      <c r="J27" s="4">
        <f>COUNTIFS(Impostos_Base!$O$4:$O$60,A27,Impostos_Base!$G$4:$G$60,B27,Impostos_Base!$U$4:$U$60,"Sim")</f>
        <v>0</v>
      </c>
      <c r="K27" s="4" t="str">
        <f>IFERROR(INDEX(Tributos!$F$4:$F$39,MATCH(B27,Tributos!$B$4:$B$39,0)),"-")</f>
        <v>Nesta conciliação</v>
      </c>
      <c r="L27" s="4" t="str">
        <f t="shared" si="1"/>
        <v>OK</v>
      </c>
      <c r="M27" s="4"/>
    </row>
    <row r="28" spans="1:13" x14ac:dyDescent="0.3">
      <c r="A28" s="4" t="s">
        <v>192</v>
      </c>
      <c r="B28" s="4" t="s">
        <v>202</v>
      </c>
      <c r="C28" s="4" t="str">
        <f>IFERROR(INDEX(CP_Setembro!$C$5:$C$126,MATCH("F|"&amp;B28,CP_Setembro!$A$5:$A$126,0)),"(NF não consta no CP de setembro)")</f>
        <v>GESCORPGO GERENCIAMENTO SERVICOS CORPORATIVOS LTDA</v>
      </c>
      <c r="D28" s="5">
        <f>SUMIFS(Tributos!$D$4:$D$39,Tributos!$A$4:$A$39,A28,Tributos!$B$4:$B$39,B28)</f>
        <v>87</v>
      </c>
      <c r="E28" s="5">
        <f>SUMIFS(Impostos_Base!$T$4:$T$60,Impostos_Base!$O$4:$O$60,A28,Impostos_Base!$G$4:$G$60,B28)</f>
        <v>87</v>
      </c>
      <c r="F28" s="5">
        <f t="shared" si="0"/>
        <v>0</v>
      </c>
      <c r="G28" s="4">
        <f>COUNTIFS(Impostos_Base!$O$4:$O$60,A28,Impostos_Base!$G$4:$G$60,B28)</f>
        <v>1</v>
      </c>
      <c r="H28" s="5">
        <f>SUMIFS(Impostos_Base!$R$4:$R$60,Impostos_Base!$O$4:$O$60,A28,Impostos_Base!$G$4:$G$60,B28)</f>
        <v>87</v>
      </c>
      <c r="I28" s="5">
        <f>SUMIFS(Impostos_Base!$S$4:$S$60,Impostos_Base!$O$4:$O$60,A28,Impostos_Base!$G$4:$G$60,B28)</f>
        <v>0</v>
      </c>
      <c r="J28" s="4">
        <f>COUNTIFS(Impostos_Base!$O$4:$O$60,A28,Impostos_Base!$G$4:$G$60,B28,Impostos_Base!$U$4:$U$60,"Sim")</f>
        <v>0</v>
      </c>
      <c r="K28" s="4" t="str">
        <f>IFERROR(INDEX(Tributos!$F$4:$F$39,MATCH(B28,Tributos!$B$4:$B$39,0)),"-")</f>
        <v>Nesta conciliação</v>
      </c>
      <c r="L28" s="4" t="str">
        <f t="shared" si="1"/>
        <v>OK</v>
      </c>
      <c r="M28" s="4"/>
    </row>
    <row r="29" spans="1:13" x14ac:dyDescent="0.3">
      <c r="A29" s="4" t="s">
        <v>214</v>
      </c>
      <c r="B29" s="4" t="s">
        <v>202</v>
      </c>
      <c r="C29" s="4" t="str">
        <f>IFERROR(INDEX(CP_Setembro!$C$5:$C$126,MATCH("F|"&amp;B29,CP_Setembro!$A$5:$A$126,0)),"(NF não consta no CP de setembro)")</f>
        <v>GESCORPGO GERENCIAMENTO SERVICOS CORPORATIVOS LTDA</v>
      </c>
      <c r="D29" s="5">
        <f>SUMIFS(Tributos!$D$4:$D$39,Tributos!$A$4:$A$39,A29,Tributos!$B$4:$B$39,B29)</f>
        <v>29</v>
      </c>
      <c r="E29" s="5">
        <f>SUMIFS(Impostos_Base!$T$4:$T$60,Impostos_Base!$O$4:$O$60,A29,Impostos_Base!$G$4:$G$60,B29)</f>
        <v>29</v>
      </c>
      <c r="F29" s="5">
        <f t="shared" si="0"/>
        <v>0</v>
      </c>
      <c r="G29" s="4">
        <f>COUNTIFS(Impostos_Base!$O$4:$O$60,A29,Impostos_Base!$G$4:$G$60,B29)</f>
        <v>1</v>
      </c>
      <c r="H29" s="5">
        <f>SUMIFS(Impostos_Base!$R$4:$R$60,Impostos_Base!$O$4:$O$60,A29,Impostos_Base!$G$4:$G$60,B29)</f>
        <v>29</v>
      </c>
      <c r="I29" s="5">
        <f>SUMIFS(Impostos_Base!$S$4:$S$60,Impostos_Base!$O$4:$O$60,A29,Impostos_Base!$G$4:$G$60,B29)</f>
        <v>0</v>
      </c>
      <c r="J29" s="4">
        <f>COUNTIFS(Impostos_Base!$O$4:$O$60,A29,Impostos_Base!$G$4:$G$60,B29,Impostos_Base!$U$4:$U$60,"Sim")</f>
        <v>0</v>
      </c>
      <c r="K29" s="4" t="str">
        <f>IFERROR(INDEX(Tributos!$F$4:$F$39,MATCH(B29,Tributos!$B$4:$B$39,0)),"-")</f>
        <v>Nesta conciliação</v>
      </c>
      <c r="L29" s="4" t="str">
        <f t="shared" si="1"/>
        <v>OK</v>
      </c>
      <c r="M29" s="4"/>
    </row>
    <row r="30" spans="1:13" x14ac:dyDescent="0.3">
      <c r="A30" s="4" t="s">
        <v>111</v>
      </c>
      <c r="B30" s="4" t="s">
        <v>202</v>
      </c>
      <c r="C30" s="4" t="str">
        <f>IFERROR(INDEX(CP_Setembro!$C$5:$C$126,MATCH("F|"&amp;B30,CP_Setembro!$A$5:$A$126,0)),"(NF não consta no CP de setembro)")</f>
        <v>GESCORPGO GERENCIAMENTO SERVICOS CORPORATIVOS LTDA</v>
      </c>
      <c r="D30" s="5">
        <f>SUMIFS(Tributos!$D$4:$D$39,Tributos!$A$4:$A$39,A30,Tributos!$B$4:$B$39,B30)</f>
        <v>43.5</v>
      </c>
      <c r="E30" s="5">
        <f>SUMIFS(Impostos_Base!$T$4:$T$60,Impostos_Base!$O$4:$O$60,A30,Impostos_Base!$G$4:$G$60,B30)</f>
        <v>43.5</v>
      </c>
      <c r="F30" s="5">
        <f t="shared" si="0"/>
        <v>0</v>
      </c>
      <c r="G30" s="4">
        <f>COUNTIFS(Impostos_Base!$O$4:$O$60,A30,Impostos_Base!$G$4:$G$60,B30)</f>
        <v>1</v>
      </c>
      <c r="H30" s="5">
        <f>SUMIFS(Impostos_Base!$R$4:$R$60,Impostos_Base!$O$4:$O$60,A30,Impostos_Base!$G$4:$G$60,B30)</f>
        <v>43.5</v>
      </c>
      <c r="I30" s="5">
        <f>SUMIFS(Impostos_Base!$S$4:$S$60,Impostos_Base!$O$4:$O$60,A30,Impostos_Base!$G$4:$G$60,B30)</f>
        <v>0</v>
      </c>
      <c r="J30" s="4">
        <f>COUNTIFS(Impostos_Base!$O$4:$O$60,A30,Impostos_Base!$G$4:$G$60,B30,Impostos_Base!$U$4:$U$60,"Sim")</f>
        <v>0</v>
      </c>
      <c r="K30" s="4" t="str">
        <f>IFERROR(INDEX(Tributos!$F$4:$F$39,MATCH(B30,Tributos!$B$4:$B$39,0)),"-")</f>
        <v>Nesta conciliação</v>
      </c>
      <c r="L30" s="4" t="str">
        <f t="shared" si="1"/>
        <v>OK</v>
      </c>
      <c r="M30" s="4"/>
    </row>
    <row r="31" spans="1:13" x14ac:dyDescent="0.3">
      <c r="A31" s="4" t="s">
        <v>149</v>
      </c>
      <c r="B31" s="4" t="s">
        <v>202</v>
      </c>
      <c r="C31" s="4" t="str">
        <f>IFERROR(INDEX(CP_Setembro!$C$5:$C$126,MATCH("F|"&amp;B31,CP_Setembro!$A$5:$A$126,0)),"(NF não consta no CP de setembro)")</f>
        <v>GESCORPGO GERENCIAMENTO SERVICOS CORPORATIVOS LTDA</v>
      </c>
      <c r="D31" s="5">
        <f>SUMIFS(Tributos!$D$4:$D$39,Tributos!$A$4:$A$39,A31,Tributos!$B$4:$B$39,B31)</f>
        <v>18.850000000000001</v>
      </c>
      <c r="E31" s="5">
        <f>SUMIFS(Impostos_Base!$T$4:$T$60,Impostos_Base!$O$4:$O$60,A31,Impostos_Base!$G$4:$G$60,B31)</f>
        <v>18.850000000000001</v>
      </c>
      <c r="F31" s="5">
        <f t="shared" si="0"/>
        <v>0</v>
      </c>
      <c r="G31" s="4">
        <f>COUNTIFS(Impostos_Base!$O$4:$O$60,A31,Impostos_Base!$G$4:$G$60,B31)</f>
        <v>1</v>
      </c>
      <c r="H31" s="5">
        <f>SUMIFS(Impostos_Base!$R$4:$R$60,Impostos_Base!$O$4:$O$60,A31,Impostos_Base!$G$4:$G$60,B31)</f>
        <v>18.850000000000001</v>
      </c>
      <c r="I31" s="5">
        <f>SUMIFS(Impostos_Base!$S$4:$S$60,Impostos_Base!$O$4:$O$60,A31,Impostos_Base!$G$4:$G$60,B31)</f>
        <v>0</v>
      </c>
      <c r="J31" s="4">
        <f>COUNTIFS(Impostos_Base!$O$4:$O$60,A31,Impostos_Base!$G$4:$G$60,B31,Impostos_Base!$U$4:$U$60,"Sim")</f>
        <v>0</v>
      </c>
      <c r="K31" s="4" t="str">
        <f>IFERROR(INDEX(Tributos!$F$4:$F$39,MATCH(B31,Tributos!$B$4:$B$39,0)),"-")</f>
        <v>Nesta conciliação</v>
      </c>
      <c r="L31" s="4" t="str">
        <f t="shared" si="1"/>
        <v>OK</v>
      </c>
      <c r="M31" s="4"/>
    </row>
    <row r="32" spans="1:13" x14ac:dyDescent="0.3">
      <c r="A32" s="4" t="s">
        <v>192</v>
      </c>
      <c r="B32" s="4" t="s">
        <v>170</v>
      </c>
      <c r="C32" s="4" t="str">
        <f>IFERROR(INDEX(CP_Setembro!$C$5:$C$126,MATCH("F|"&amp;B32,CP_Setembro!$A$5:$A$126,0)),"ATIX TECNOLOGIA E SEGURANCA LTDA (NF de agosto)")</f>
        <v>ATIX TECNOLOGIA E SEGURANCA LTDA (NF de agosto)</v>
      </c>
      <c r="D32" s="5">
        <f>SUMIFS(Tributos!$D$4:$D$39,Tributos!$A$4:$A$39,A32,Tributos!$B$4:$B$39,B32)</f>
        <v>96.99</v>
      </c>
      <c r="E32" s="5">
        <f>SUMIFS(Impostos_Base!$T$4:$T$60,Impostos_Base!$O$4:$O$60,A32,Impostos_Base!$G$4:$G$60,B32)</f>
        <v>96.99</v>
      </c>
      <c r="F32" s="5">
        <f t="shared" si="0"/>
        <v>0</v>
      </c>
      <c r="G32" s="4">
        <f>COUNTIFS(Impostos_Base!$O$4:$O$60,A32,Impostos_Base!$G$4:$G$60,B32)</f>
        <v>1</v>
      </c>
      <c r="H32" s="5">
        <f>SUMIFS(Impostos_Base!$R$4:$R$60,Impostos_Base!$O$4:$O$60,A32,Impostos_Base!$G$4:$G$60,B32)</f>
        <v>96.99</v>
      </c>
      <c r="I32" s="5">
        <f>SUMIFS(Impostos_Base!$S$4:$S$60,Impostos_Base!$O$4:$O$60,A32,Impostos_Base!$G$4:$G$60,B32)</f>
        <v>0</v>
      </c>
      <c r="J32" s="4">
        <f>COUNTIFS(Impostos_Base!$O$4:$O$60,A32,Impostos_Base!$G$4:$G$60,B32,Impostos_Base!$U$4:$U$60,"Sim")</f>
        <v>1</v>
      </c>
      <c r="K32" s="4" t="str">
        <f>IFERROR(INDEX(Tributos!$F$4:$F$39,MATCH(B32,Tributos!$B$4:$B$39,0)),"-")</f>
        <v>Lote anterior</v>
      </c>
      <c r="L32" s="4" t="str">
        <f t="shared" si="1"/>
        <v>OK</v>
      </c>
      <c r="M32" s="4"/>
    </row>
    <row r="33" spans="1:13" x14ac:dyDescent="0.3">
      <c r="A33" s="4" t="s">
        <v>214</v>
      </c>
      <c r="B33" s="4" t="s">
        <v>170</v>
      </c>
      <c r="C33" s="4" t="str">
        <f>IFERROR(INDEX(CP_Setembro!$C$5:$C$126,MATCH("F|"&amp;B33,CP_Setembro!$A$5:$A$126,0)),"ATIX TECNOLOGIA E SEGURANCA LTDA (NF de agosto)")</f>
        <v>ATIX TECNOLOGIA E SEGURANCA LTDA (NF de agosto)</v>
      </c>
      <c r="D33" s="5">
        <f>SUMIFS(Tributos!$D$4:$D$39,Tributos!$A$4:$A$39,A33,Tributos!$B$4:$B$39,B33)</f>
        <v>32.33</v>
      </c>
      <c r="E33" s="5">
        <f>SUMIFS(Impostos_Base!$T$4:$T$60,Impostos_Base!$O$4:$O$60,A33,Impostos_Base!$G$4:$G$60,B33)</f>
        <v>32.33</v>
      </c>
      <c r="F33" s="5">
        <f t="shared" si="0"/>
        <v>0</v>
      </c>
      <c r="G33" s="4">
        <f>COUNTIFS(Impostos_Base!$O$4:$O$60,A33,Impostos_Base!$G$4:$G$60,B33)</f>
        <v>1</v>
      </c>
      <c r="H33" s="5">
        <f>SUMIFS(Impostos_Base!$R$4:$R$60,Impostos_Base!$O$4:$O$60,A33,Impostos_Base!$G$4:$G$60,B33)</f>
        <v>32.33</v>
      </c>
      <c r="I33" s="5">
        <f>SUMIFS(Impostos_Base!$S$4:$S$60,Impostos_Base!$O$4:$O$60,A33,Impostos_Base!$G$4:$G$60,B33)</f>
        <v>0</v>
      </c>
      <c r="J33" s="4">
        <f>COUNTIFS(Impostos_Base!$O$4:$O$60,A33,Impostos_Base!$G$4:$G$60,B33,Impostos_Base!$U$4:$U$60,"Sim")</f>
        <v>1</v>
      </c>
      <c r="K33" s="4" t="str">
        <f>IFERROR(INDEX(Tributos!$F$4:$F$39,MATCH(B33,Tributos!$B$4:$B$39,0)),"-")</f>
        <v>Lote anterior</v>
      </c>
      <c r="L33" s="4" t="str">
        <f t="shared" si="1"/>
        <v>OK</v>
      </c>
      <c r="M33" s="4"/>
    </row>
    <row r="34" spans="1:13" x14ac:dyDescent="0.3">
      <c r="A34" s="4" t="s">
        <v>111</v>
      </c>
      <c r="B34" s="4" t="s">
        <v>170</v>
      </c>
      <c r="C34" s="4" t="str">
        <f>IFERROR(INDEX(CP_Setembro!$C$5:$C$126,MATCH("F|"&amp;B34,CP_Setembro!$A$5:$A$126,0)),"ATIX TECNOLOGIA E SEGURANCA LTDA (NF de agosto)")</f>
        <v>ATIX TECNOLOGIA E SEGURANCA LTDA (NF de agosto)</v>
      </c>
      <c r="D34" s="5">
        <f>SUMIFS(Tributos!$D$4:$D$39,Tributos!$A$4:$A$39,A34,Tributos!$B$4:$B$39,B34)</f>
        <v>32.33</v>
      </c>
      <c r="E34" s="5">
        <f>SUMIFS(Impostos_Base!$T$4:$T$60,Impostos_Base!$O$4:$O$60,A34,Impostos_Base!$G$4:$G$60,B34)</f>
        <v>32.33</v>
      </c>
      <c r="F34" s="5">
        <f t="shared" si="0"/>
        <v>0</v>
      </c>
      <c r="G34" s="4">
        <f>COUNTIFS(Impostos_Base!$O$4:$O$60,A34,Impostos_Base!$G$4:$G$60,B34)</f>
        <v>1</v>
      </c>
      <c r="H34" s="5">
        <f>SUMIFS(Impostos_Base!$R$4:$R$60,Impostos_Base!$O$4:$O$60,A34,Impostos_Base!$G$4:$G$60,B34)</f>
        <v>32.33</v>
      </c>
      <c r="I34" s="5">
        <f>SUMIFS(Impostos_Base!$S$4:$S$60,Impostos_Base!$O$4:$O$60,A34,Impostos_Base!$G$4:$G$60,B34)</f>
        <v>0</v>
      </c>
      <c r="J34" s="4">
        <f>COUNTIFS(Impostos_Base!$O$4:$O$60,A34,Impostos_Base!$G$4:$G$60,B34,Impostos_Base!$U$4:$U$60,"Sim")</f>
        <v>0</v>
      </c>
      <c r="K34" s="4" t="str">
        <f>IFERROR(INDEX(Tributos!$F$4:$F$39,MATCH(B34,Tributos!$B$4:$B$39,0)),"-")</f>
        <v>Lote anterior</v>
      </c>
      <c r="L34" s="4" t="str">
        <f t="shared" si="1"/>
        <v>OK</v>
      </c>
      <c r="M34" s="4"/>
    </row>
    <row r="35" spans="1:13" x14ac:dyDescent="0.3">
      <c r="A35" s="4" t="s">
        <v>87</v>
      </c>
      <c r="B35" s="4" t="s">
        <v>170</v>
      </c>
      <c r="C35" s="4" t="str">
        <f>IFERROR(INDEX(CP_Setembro!$C$5:$C$126,MATCH("F|"&amp;B35,CP_Setembro!$A$5:$A$126,0)),"ATIX TECNOLOGIA E SEGURANCA LTDA (NF de agosto)")</f>
        <v>ATIX TECNOLOGIA E SEGURANCA LTDA (NF de agosto)</v>
      </c>
      <c r="D35" s="5">
        <f>SUMIFS(Tributos!$D$4:$D$39,Tributos!$A$4:$A$39,A35,Tributos!$B$4:$B$39,B35)</f>
        <v>161.65</v>
      </c>
      <c r="E35" s="5">
        <f>SUMIFS(Impostos_Base!$T$4:$T$60,Impostos_Base!$O$4:$O$60,A35,Impostos_Base!$G$4:$G$60,B35)</f>
        <v>161.65</v>
      </c>
      <c r="F35" s="5">
        <f t="shared" si="0"/>
        <v>0</v>
      </c>
      <c r="G35" s="4">
        <f>COUNTIFS(Impostos_Base!$O$4:$O$60,A35,Impostos_Base!$G$4:$G$60,B35)</f>
        <v>1</v>
      </c>
      <c r="H35" s="5">
        <f>SUMIFS(Impostos_Base!$R$4:$R$60,Impostos_Base!$O$4:$O$60,A35,Impostos_Base!$G$4:$G$60,B35)</f>
        <v>161.65</v>
      </c>
      <c r="I35" s="5">
        <f>SUMIFS(Impostos_Base!$S$4:$S$60,Impostos_Base!$O$4:$O$60,A35,Impostos_Base!$G$4:$G$60,B35)</f>
        <v>0</v>
      </c>
      <c r="J35" s="4">
        <f>COUNTIFS(Impostos_Base!$O$4:$O$60,A35,Impostos_Base!$G$4:$G$60,B35,Impostos_Base!$U$4:$U$60,"Sim")</f>
        <v>1</v>
      </c>
      <c r="K35" s="4" t="str">
        <f>IFERROR(INDEX(Tributos!$F$4:$F$39,MATCH(B35,Tributos!$B$4:$B$39,0)),"-")</f>
        <v>Lote anterior</v>
      </c>
      <c r="L35" s="4" t="str">
        <f t="shared" si="1"/>
        <v>OK</v>
      </c>
      <c r="M35" s="4"/>
    </row>
    <row r="36" spans="1:13" x14ac:dyDescent="0.3">
      <c r="A36" s="4" t="s">
        <v>149</v>
      </c>
      <c r="B36" s="4" t="s">
        <v>170</v>
      </c>
      <c r="C36" s="4" t="str">
        <f>IFERROR(INDEX(CP_Setembro!$C$5:$C$126,MATCH("F|"&amp;B36,CP_Setembro!$A$5:$A$126,0)),"ATIX TECNOLOGIA E SEGURANCA LTDA (NF de agosto)")</f>
        <v>ATIX TECNOLOGIA E SEGURANCA LTDA (NF de agosto)</v>
      </c>
      <c r="D36" s="5">
        <f>SUMIFS(Tributos!$D$4:$D$39,Tributos!$A$4:$A$39,A36,Tributos!$B$4:$B$39,B36)</f>
        <v>21.01</v>
      </c>
      <c r="E36" s="5">
        <f>SUMIFS(Impostos_Base!$T$4:$T$60,Impostos_Base!$O$4:$O$60,A36,Impostos_Base!$G$4:$G$60,B36)</f>
        <v>21.01</v>
      </c>
      <c r="F36" s="5">
        <f t="shared" si="0"/>
        <v>0</v>
      </c>
      <c r="G36" s="4">
        <f>COUNTIFS(Impostos_Base!$O$4:$O$60,A36,Impostos_Base!$G$4:$G$60,B36)</f>
        <v>1</v>
      </c>
      <c r="H36" s="5">
        <f>SUMIFS(Impostos_Base!$R$4:$R$60,Impostos_Base!$O$4:$O$60,A36,Impostos_Base!$G$4:$G$60,B36)</f>
        <v>21.01</v>
      </c>
      <c r="I36" s="5">
        <f>SUMIFS(Impostos_Base!$S$4:$S$60,Impostos_Base!$O$4:$O$60,A36,Impostos_Base!$G$4:$G$60,B36)</f>
        <v>0</v>
      </c>
      <c r="J36" s="4">
        <f>COUNTIFS(Impostos_Base!$O$4:$O$60,A36,Impostos_Base!$G$4:$G$60,B36,Impostos_Base!$U$4:$U$60,"Sim")</f>
        <v>1</v>
      </c>
      <c r="K36" s="4" t="str">
        <f>IFERROR(INDEX(Tributos!$F$4:$F$39,MATCH(B36,Tributos!$B$4:$B$39,0)),"-")</f>
        <v>Lote anterior</v>
      </c>
      <c r="L36" s="4" t="str">
        <f t="shared" si="1"/>
        <v>OK</v>
      </c>
      <c r="M36" s="4"/>
    </row>
    <row r="37" spans="1:13" x14ac:dyDescent="0.3">
      <c r="A37" s="4" t="s">
        <v>87</v>
      </c>
      <c r="B37" s="4" t="s">
        <v>188</v>
      </c>
      <c r="C37" s="4" t="str">
        <f>IFERROR(INDEX(CP_Setembro!$C$5:$C$126,MATCH("F|"&amp;B37,CP_Setembro!$A$5:$A$126,0)),"(NF não consta no CP de setembro)")</f>
        <v>AGUAJATO TRANSPORTES LTDA</v>
      </c>
      <c r="D37" s="5">
        <f>SUMIFS(Tributos!$D$4:$D$39,Tributos!$A$4:$A$39,A37,Tributos!$B$4:$B$39,B37)</f>
        <v>90</v>
      </c>
      <c r="E37" s="5">
        <f>SUMIFS(Impostos_Base!$T$4:$T$60,Impostos_Base!$O$4:$O$60,A37,Impostos_Base!$G$4:$G$60,B37)</f>
        <v>90</v>
      </c>
      <c r="F37" s="5">
        <f t="shared" si="0"/>
        <v>0</v>
      </c>
      <c r="G37" s="4">
        <f>COUNTIFS(Impostos_Base!$O$4:$O$60,A37,Impostos_Base!$G$4:$G$60,B37)</f>
        <v>2</v>
      </c>
      <c r="H37" s="5">
        <f>SUMIFS(Impostos_Base!$R$4:$R$60,Impostos_Base!$O$4:$O$60,A37,Impostos_Base!$G$4:$G$60,B37)</f>
        <v>90</v>
      </c>
      <c r="I37" s="5">
        <f>SUMIFS(Impostos_Base!$S$4:$S$60,Impostos_Base!$O$4:$O$60,A37,Impostos_Base!$G$4:$G$60,B37)</f>
        <v>0</v>
      </c>
      <c r="J37" s="4">
        <f>COUNTIFS(Impostos_Base!$O$4:$O$60,A37,Impostos_Base!$G$4:$G$60,B37,Impostos_Base!$U$4:$U$60,"Sim")</f>
        <v>0</v>
      </c>
      <c r="K37" s="4" t="str">
        <f>IFERROR(INDEX(Tributos!$F$4:$F$39,MATCH(B37,Tributos!$B$4:$B$39,0)),"-")</f>
        <v>Nesta conciliação</v>
      </c>
      <c r="L37" s="4" t="str">
        <f t="shared" si="1"/>
        <v>OK</v>
      </c>
      <c r="M37" s="4"/>
    </row>
    <row r="38" spans="1:13" x14ac:dyDescent="0.3">
      <c r="A38" s="4" t="s">
        <v>87</v>
      </c>
      <c r="B38" s="4" t="s">
        <v>265</v>
      </c>
      <c r="C38" s="4" t="str">
        <f>IFERROR(INDEX(CP_Setembro!$C$5:$C$126,MATCH("F|"&amp;B38,CP_Setembro!$A$5:$A$126,0)),"(NF não consta no CP de setembro)")</f>
        <v>AGUAJATO TRANSPORTES LTDA</v>
      </c>
      <c r="D38" s="5">
        <f>SUMIFS(Tributos!$D$4:$D$39,Tributos!$A$4:$A$39,A38,Tributos!$B$4:$B$39,B38)</f>
        <v>112.5</v>
      </c>
      <c r="E38" s="5">
        <f>SUMIFS(Impostos_Base!$T$4:$T$60,Impostos_Base!$O$4:$O$60,A38,Impostos_Base!$G$4:$G$60,B38)</f>
        <v>112.5</v>
      </c>
      <c r="F38" s="5">
        <f t="shared" si="0"/>
        <v>0</v>
      </c>
      <c r="G38" s="4">
        <f>COUNTIFS(Impostos_Base!$O$4:$O$60,A38,Impostos_Base!$G$4:$G$60,B38)</f>
        <v>1</v>
      </c>
      <c r="H38" s="5">
        <f>SUMIFS(Impostos_Base!$R$4:$R$60,Impostos_Base!$O$4:$O$60,A38,Impostos_Base!$G$4:$G$60,B38)</f>
        <v>112.5</v>
      </c>
      <c r="I38" s="5">
        <f>SUMIFS(Impostos_Base!$S$4:$S$60,Impostos_Base!$O$4:$O$60,A38,Impostos_Base!$G$4:$G$60,B38)</f>
        <v>0</v>
      </c>
      <c r="J38" s="4">
        <f>COUNTIFS(Impostos_Base!$O$4:$O$60,A38,Impostos_Base!$G$4:$G$60,B38,Impostos_Base!$U$4:$U$60,"Sim")</f>
        <v>0</v>
      </c>
      <c r="K38" s="4" t="str">
        <f>IFERROR(INDEX(Tributos!$F$4:$F$39,MATCH(B38,Tributos!$B$4:$B$39,0)),"-")</f>
        <v>Nesta conciliação</v>
      </c>
      <c r="L38" s="4" t="str">
        <f t="shared" si="1"/>
        <v>OK</v>
      </c>
      <c r="M38" s="4"/>
    </row>
    <row r="39" spans="1:13" x14ac:dyDescent="0.3">
      <c r="A39" s="4" t="s">
        <v>87</v>
      </c>
      <c r="B39" s="4" t="s">
        <v>210</v>
      </c>
      <c r="C39" s="4" t="str">
        <f>IFERROR(INDEX(CP_Setembro!$C$5:$C$126,MATCH("F|"&amp;B39,CP_Setembro!$A$5:$A$126,0)),"(NF não consta no CP de setembro)")</f>
        <v>C &amp; N COPIADORA LTDA</v>
      </c>
      <c r="D39" s="5">
        <f>SUMIFS(Tributos!$D$4:$D$39,Tributos!$A$4:$A$39,A39,Tributos!$B$4:$B$39,B39)</f>
        <v>133.13999999999999</v>
      </c>
      <c r="E39" s="5">
        <f>SUMIFS(Impostos_Base!$T$4:$T$60,Impostos_Base!$O$4:$O$60,A39,Impostos_Base!$G$4:$G$60,B39)</f>
        <v>133.13999999999999</v>
      </c>
      <c r="F39" s="5">
        <f t="shared" si="0"/>
        <v>0</v>
      </c>
      <c r="G39" s="4">
        <f>COUNTIFS(Impostos_Base!$O$4:$O$60,A39,Impostos_Base!$G$4:$G$60,B39)</f>
        <v>1</v>
      </c>
      <c r="H39" s="5">
        <f>SUMIFS(Impostos_Base!$R$4:$R$60,Impostos_Base!$O$4:$O$60,A39,Impostos_Base!$G$4:$G$60,B39)</f>
        <v>0</v>
      </c>
      <c r="I39" s="5">
        <f>SUMIFS(Impostos_Base!$S$4:$S$60,Impostos_Base!$O$4:$O$60,A39,Impostos_Base!$G$4:$G$60,B39)</f>
        <v>133.13999999999999</v>
      </c>
      <c r="J39" s="4">
        <f>COUNTIFS(Impostos_Base!$O$4:$O$60,A39,Impostos_Base!$G$4:$G$60,B39,Impostos_Base!$U$4:$U$60,"Sim")</f>
        <v>0</v>
      </c>
      <c r="K39" s="4" t="str">
        <f>IFERROR(INDEX(Tributos!$F$4:$F$39,MATCH(B39,Tributos!$B$4:$B$39,0)),"-")</f>
        <v>Nesta conciliação</v>
      </c>
      <c r="L39" s="4" t="str">
        <f t="shared" si="1"/>
        <v>OK - em aberto na base</v>
      </c>
      <c r="M39" s="4" t="s">
        <v>301</v>
      </c>
    </row>
    <row r="40" spans="1:13" x14ac:dyDescent="0.3">
      <c r="C40" s="16" t="s">
        <v>282</v>
      </c>
      <c r="D40" s="17">
        <f t="shared" ref="D40:J40" si="2">SUM(D4:D39)</f>
        <v>32175.130000000005</v>
      </c>
      <c r="E40" s="17">
        <f t="shared" si="2"/>
        <v>28357.015800000001</v>
      </c>
      <c r="F40" s="17">
        <f t="shared" si="2"/>
        <v>3818.1142</v>
      </c>
      <c r="G40" s="19">
        <f t="shared" si="2"/>
        <v>57</v>
      </c>
      <c r="H40" s="17">
        <f t="shared" si="2"/>
        <v>28223.875800000002</v>
      </c>
      <c r="I40" s="17">
        <f t="shared" si="2"/>
        <v>133.13999999999999</v>
      </c>
      <c r="J40" s="19">
        <f t="shared" si="2"/>
        <v>10</v>
      </c>
    </row>
    <row r="42" spans="1:13" hidden="1" x14ac:dyDescent="0.3">
      <c r="A42" s="16" t="s">
        <v>302</v>
      </c>
    </row>
    <row r="43" spans="1:13" hidden="1" x14ac:dyDescent="0.3">
      <c r="A43" t="s">
        <v>303</v>
      </c>
      <c r="D43" s="20">
        <f>SUMIFS(Impostos_Base!$T$4:$T$60,Impostos_Base!$U$4:$U$60,"Sim")</f>
        <v>1769.43</v>
      </c>
    </row>
    <row r="44" spans="1:13" hidden="1" x14ac:dyDescent="0.3">
      <c r="A44" t="s">
        <v>304</v>
      </c>
      <c r="D44" s="20">
        <f>SUMIFS(E4:E39,K4:K39,"Lote anterior")</f>
        <v>2480.7599999999998</v>
      </c>
    </row>
    <row r="45" spans="1:13" hidden="1" x14ac:dyDescent="0.3">
      <c r="A45" s="16" t="s">
        <v>305</v>
      </c>
      <c r="D45" s="17">
        <f>D44-D43</f>
        <v>711.3299999999997</v>
      </c>
    </row>
    <row r="46" spans="1:13" hidden="1" x14ac:dyDescent="0.3">
      <c r="A46" s="2" t="s">
        <v>306</v>
      </c>
    </row>
  </sheetData>
  <autoFilter ref="A3:M40" xr:uid="{00000000-0009-0000-0000-000002000000}"/>
  <conditionalFormatting sqref="L4:L39">
    <cfRule type="cellIs" dxfId="7" priority="2" operator="equal">
      <formula>"Só no CP"</formula>
    </cfRule>
    <cfRule type="cellIs" dxfId="6" priority="3" operator="equal">
      <formula>"DIVERGE"</formula>
    </cfRule>
    <cfRule type="cellIs" dxfId="5" priority="4" operator="equal">
      <formula>"Dif. de rateio"</formula>
    </cfRule>
    <cfRule type="cellIs" dxfId="4" priority="5" operator="equal">
      <formula>"OK - em aberto na base"</formula>
    </cfRule>
    <cfRule type="cellIs" dxfId="3" priority="6" operator="equal">
      <formula>"OK"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7"/>
  <sheetViews>
    <sheetView showGridLines="0" zoomScale="85" zoomScaleNormal="85" workbookViewId="0">
      <pane xSplit="3" ySplit="4" topLeftCell="D131" activePane="bottomRight" state="frozen"/>
      <selection pane="topRight" activeCell="D1" sqref="D1"/>
      <selection pane="bottomLeft" activeCell="A5" sqref="A5"/>
      <selection pane="bottomRight" activeCell="A2" sqref="A2:XFD2"/>
    </sheetView>
  </sheetViews>
  <sheetFormatPr defaultColWidth="8.6640625" defaultRowHeight="14.4" x14ac:dyDescent="0.3"/>
  <cols>
    <col min="1" max="1" width="14" customWidth="1"/>
    <col min="2" max="2" width="12" customWidth="1"/>
    <col min="3" max="3" width="48" customWidth="1"/>
    <col min="4" max="4" width="15" customWidth="1"/>
    <col min="5" max="5" width="11" customWidth="1"/>
    <col min="6" max="6" width="6" customWidth="1"/>
    <col min="7" max="8" width="14.44140625" customWidth="1"/>
    <col min="9" max="9" width="14" customWidth="1"/>
    <col min="10" max="10" width="13" customWidth="1"/>
    <col min="11" max="12" width="12" customWidth="1"/>
    <col min="13" max="14" width="14" customWidth="1"/>
    <col min="15" max="15" width="10" customWidth="1"/>
  </cols>
  <sheetData>
    <row r="1" spans="1:15" ht="17.399999999999999" x14ac:dyDescent="0.3">
      <c r="A1" s="1" t="s">
        <v>307</v>
      </c>
    </row>
    <row r="2" spans="1:15" hidden="1" x14ac:dyDescent="0.3">
      <c r="A2" s="2" t="s">
        <v>308</v>
      </c>
    </row>
    <row r="4" spans="1:15" ht="30" customHeight="1" x14ac:dyDescent="0.3">
      <c r="A4" s="14" t="s">
        <v>55</v>
      </c>
      <c r="B4" s="14" t="s">
        <v>309</v>
      </c>
      <c r="C4" s="14" t="s">
        <v>310</v>
      </c>
      <c r="D4" s="14" t="s">
        <v>311</v>
      </c>
      <c r="E4" s="14" t="s">
        <v>312</v>
      </c>
      <c r="F4" s="14" t="s">
        <v>313</v>
      </c>
      <c r="G4" s="14" t="s">
        <v>65</v>
      </c>
      <c r="H4" s="14" t="s">
        <v>66</v>
      </c>
      <c r="I4" s="14" t="s">
        <v>2</v>
      </c>
      <c r="J4" s="14" t="s">
        <v>314</v>
      </c>
      <c r="K4" s="14" t="s">
        <v>315</v>
      </c>
      <c r="L4" s="14" t="s">
        <v>316</v>
      </c>
      <c r="M4" s="14" t="s">
        <v>317</v>
      </c>
      <c r="N4" s="14" t="s">
        <v>318</v>
      </c>
      <c r="O4" s="14" t="s">
        <v>319</v>
      </c>
    </row>
    <row r="5" spans="1:15" x14ac:dyDescent="0.3">
      <c r="A5" s="4" t="str">
        <f t="shared" ref="A5:A36" si="0">LEFT(B5,1)&amp;"|"&amp;E5</f>
        <v>F|189962</v>
      </c>
      <c r="B5" s="4" t="s">
        <v>320</v>
      </c>
      <c r="C5" s="4" t="s">
        <v>321</v>
      </c>
      <c r="D5" s="4" t="s">
        <v>322</v>
      </c>
      <c r="E5" s="4" t="s">
        <v>323</v>
      </c>
      <c r="F5" s="4">
        <v>752</v>
      </c>
      <c r="G5" s="15">
        <v>46266</v>
      </c>
      <c r="H5" s="15">
        <v>46295</v>
      </c>
      <c r="I5" s="11">
        <v>2462.6</v>
      </c>
      <c r="J5" s="11">
        <v>0</v>
      </c>
      <c r="K5" s="11">
        <v>0</v>
      </c>
      <c r="L5" s="11">
        <v>0</v>
      </c>
      <c r="M5" s="11">
        <v>2462.6</v>
      </c>
      <c r="N5" s="5">
        <f t="shared" ref="N5:N36" si="1">I5-J5-K5+L5</f>
        <v>2462.6</v>
      </c>
      <c r="O5" s="4" t="str">
        <f t="shared" ref="O5:O36" si="2">IF(ABS(N5-M5)&lt;0.005,"OK","VERIFICAR")</f>
        <v>OK</v>
      </c>
    </row>
    <row r="6" spans="1:15" x14ac:dyDescent="0.3">
      <c r="A6" s="4" t="str">
        <f t="shared" si="0"/>
        <v>F|37444</v>
      </c>
      <c r="B6" s="4" t="s">
        <v>320</v>
      </c>
      <c r="C6" s="4" t="s">
        <v>324</v>
      </c>
      <c r="D6" s="4" t="s">
        <v>325</v>
      </c>
      <c r="E6" s="4" t="s">
        <v>188</v>
      </c>
      <c r="F6" s="4">
        <v>676</v>
      </c>
      <c r="G6" s="15">
        <v>46244</v>
      </c>
      <c r="H6" s="15">
        <v>46274</v>
      </c>
      <c r="I6" s="11">
        <v>1800</v>
      </c>
      <c r="J6" s="11">
        <v>90</v>
      </c>
      <c r="K6" s="11">
        <v>0</v>
      </c>
      <c r="L6" s="11">
        <v>0</v>
      </c>
      <c r="M6" s="11">
        <v>1710</v>
      </c>
      <c r="N6" s="5">
        <f t="shared" si="1"/>
        <v>1710</v>
      </c>
      <c r="O6" s="4" t="str">
        <f t="shared" si="2"/>
        <v>OK</v>
      </c>
    </row>
    <row r="7" spans="1:15" x14ac:dyDescent="0.3">
      <c r="A7" s="4" t="str">
        <f t="shared" si="0"/>
        <v>F|37535</v>
      </c>
      <c r="B7" s="4" t="s">
        <v>320</v>
      </c>
      <c r="C7" s="4" t="s">
        <v>324</v>
      </c>
      <c r="D7" s="4" t="s">
        <v>325</v>
      </c>
      <c r="E7" s="4" t="s">
        <v>265</v>
      </c>
      <c r="F7" s="4">
        <v>665</v>
      </c>
      <c r="G7" s="15">
        <v>46253</v>
      </c>
      <c r="H7" s="15">
        <v>46281</v>
      </c>
      <c r="I7" s="11">
        <v>2250</v>
      </c>
      <c r="J7" s="11">
        <v>112.5</v>
      </c>
      <c r="K7" s="11">
        <v>0</v>
      </c>
      <c r="L7" s="11">
        <v>0</v>
      </c>
      <c r="M7" s="11">
        <v>2137.5</v>
      </c>
      <c r="N7" s="5">
        <f t="shared" si="1"/>
        <v>2137.5</v>
      </c>
      <c r="O7" s="4" t="str">
        <f t="shared" si="2"/>
        <v>OK</v>
      </c>
    </row>
    <row r="8" spans="1:15" x14ac:dyDescent="0.3">
      <c r="A8" s="4" t="str">
        <f t="shared" si="0"/>
        <v>F|37681</v>
      </c>
      <c r="B8" s="4" t="s">
        <v>320</v>
      </c>
      <c r="C8" s="4" t="s">
        <v>324</v>
      </c>
      <c r="D8" s="4" t="s">
        <v>325</v>
      </c>
      <c r="E8" s="4" t="s">
        <v>326</v>
      </c>
      <c r="F8" s="4">
        <v>756</v>
      </c>
      <c r="G8" s="15">
        <v>46267</v>
      </c>
      <c r="H8" s="15">
        <v>46281</v>
      </c>
      <c r="I8" s="11">
        <v>3650</v>
      </c>
      <c r="J8" s="11">
        <v>182.5</v>
      </c>
      <c r="K8" s="11">
        <v>0</v>
      </c>
      <c r="L8" s="11">
        <v>0</v>
      </c>
      <c r="M8" s="11">
        <v>3467.5</v>
      </c>
      <c r="N8" s="5">
        <f t="shared" si="1"/>
        <v>3467.5</v>
      </c>
      <c r="O8" s="4" t="str">
        <f t="shared" si="2"/>
        <v>OK</v>
      </c>
    </row>
    <row r="9" spans="1:15" x14ac:dyDescent="0.3">
      <c r="A9" s="4" t="str">
        <f t="shared" si="0"/>
        <v>F|440</v>
      </c>
      <c r="B9" s="4" t="s">
        <v>320</v>
      </c>
      <c r="C9" s="4" t="s">
        <v>327</v>
      </c>
      <c r="D9" s="4" t="s">
        <v>322</v>
      </c>
      <c r="E9" s="4" t="s">
        <v>328</v>
      </c>
      <c r="F9" s="4">
        <v>746</v>
      </c>
      <c r="G9" s="15">
        <v>46266</v>
      </c>
      <c r="H9" s="15">
        <v>46288</v>
      </c>
      <c r="I9" s="11">
        <v>2227</v>
      </c>
      <c r="J9" s="11">
        <v>0</v>
      </c>
      <c r="K9" s="11">
        <v>0</v>
      </c>
      <c r="L9" s="11">
        <v>0</v>
      </c>
      <c r="M9" s="11">
        <v>2227</v>
      </c>
      <c r="N9" s="5">
        <f t="shared" si="1"/>
        <v>2227</v>
      </c>
      <c r="O9" s="4" t="str">
        <f t="shared" si="2"/>
        <v>OK</v>
      </c>
    </row>
    <row r="10" spans="1:15" x14ac:dyDescent="0.3">
      <c r="A10" s="4" t="str">
        <f t="shared" si="0"/>
        <v>F|23704</v>
      </c>
      <c r="B10" s="4" t="s">
        <v>320</v>
      </c>
      <c r="C10" s="4" t="s">
        <v>327</v>
      </c>
      <c r="D10" s="4" t="s">
        <v>325</v>
      </c>
      <c r="E10" s="4" t="s">
        <v>329</v>
      </c>
      <c r="F10" s="4">
        <v>748</v>
      </c>
      <c r="G10" s="15">
        <v>46266</v>
      </c>
      <c r="H10" s="15">
        <v>46288</v>
      </c>
      <c r="I10" s="11">
        <v>4073</v>
      </c>
      <c r="J10" s="11">
        <v>433.77</v>
      </c>
      <c r="K10" s="11">
        <v>0</v>
      </c>
      <c r="L10" s="11">
        <v>0</v>
      </c>
      <c r="M10" s="11">
        <v>3639.23</v>
      </c>
      <c r="N10" s="5">
        <f t="shared" si="1"/>
        <v>3639.23</v>
      </c>
      <c r="O10" s="4" t="str">
        <f t="shared" si="2"/>
        <v>OK</v>
      </c>
    </row>
    <row r="11" spans="1:15" x14ac:dyDescent="0.3">
      <c r="A11" s="4" t="str">
        <f t="shared" si="0"/>
        <v>F|14509</v>
      </c>
      <c r="B11" s="4" t="s">
        <v>320</v>
      </c>
      <c r="C11" s="4" t="s">
        <v>330</v>
      </c>
      <c r="D11" s="4" t="s">
        <v>322</v>
      </c>
      <c r="E11" s="4" t="s">
        <v>331</v>
      </c>
      <c r="F11" s="4">
        <v>679</v>
      </c>
      <c r="G11" s="15">
        <v>46251</v>
      </c>
      <c r="H11" s="15">
        <v>46274</v>
      </c>
      <c r="I11" s="11">
        <v>1325.64</v>
      </c>
      <c r="J11" s="11">
        <v>0</v>
      </c>
      <c r="K11" s="11">
        <v>0</v>
      </c>
      <c r="L11" s="11">
        <v>0</v>
      </c>
      <c r="M11" s="11">
        <v>1325.64</v>
      </c>
      <c r="N11" s="5">
        <f t="shared" si="1"/>
        <v>1325.64</v>
      </c>
      <c r="O11" s="4" t="str">
        <f t="shared" si="2"/>
        <v>OK</v>
      </c>
    </row>
    <row r="12" spans="1:15" x14ac:dyDescent="0.3">
      <c r="A12" s="4" t="str">
        <f t="shared" si="0"/>
        <v>F|1985672</v>
      </c>
      <c r="B12" s="4" t="s">
        <v>320</v>
      </c>
      <c r="C12" s="4" t="s">
        <v>332</v>
      </c>
      <c r="D12" s="4" t="s">
        <v>322</v>
      </c>
      <c r="E12" s="4" t="s">
        <v>333</v>
      </c>
      <c r="F12" s="4">
        <v>489</v>
      </c>
      <c r="G12" s="15">
        <v>46218</v>
      </c>
      <c r="H12" s="15">
        <v>46281</v>
      </c>
      <c r="I12" s="11">
        <v>42668.95</v>
      </c>
      <c r="J12" s="11">
        <v>0</v>
      </c>
      <c r="K12" s="11">
        <v>0</v>
      </c>
      <c r="L12" s="11">
        <v>0</v>
      </c>
      <c r="M12" s="11">
        <v>42668.95</v>
      </c>
      <c r="N12" s="5">
        <f t="shared" si="1"/>
        <v>42668.95</v>
      </c>
      <c r="O12" s="4" t="str">
        <f t="shared" si="2"/>
        <v>OK</v>
      </c>
    </row>
    <row r="13" spans="1:15" x14ac:dyDescent="0.3">
      <c r="A13" s="4" t="str">
        <f t="shared" si="0"/>
        <v>F|1985676</v>
      </c>
      <c r="B13" s="4" t="s">
        <v>320</v>
      </c>
      <c r="C13" s="4" t="s">
        <v>332</v>
      </c>
      <c r="D13" s="4" t="s">
        <v>322</v>
      </c>
      <c r="E13" s="4" t="s">
        <v>334</v>
      </c>
      <c r="F13" s="4">
        <v>497</v>
      </c>
      <c r="G13" s="15">
        <v>46218</v>
      </c>
      <c r="H13" s="15">
        <v>46281</v>
      </c>
      <c r="I13" s="11">
        <v>29753.67</v>
      </c>
      <c r="J13" s="11">
        <v>0</v>
      </c>
      <c r="K13" s="11">
        <v>0</v>
      </c>
      <c r="L13" s="11">
        <v>0</v>
      </c>
      <c r="M13" s="11">
        <v>29753.67</v>
      </c>
      <c r="N13" s="5">
        <f t="shared" si="1"/>
        <v>29753.67</v>
      </c>
      <c r="O13" s="4" t="str">
        <f t="shared" si="2"/>
        <v>OK</v>
      </c>
    </row>
    <row r="14" spans="1:15" x14ac:dyDescent="0.3">
      <c r="A14" s="4" t="str">
        <f t="shared" si="0"/>
        <v>F|1088</v>
      </c>
      <c r="B14" s="4" t="s">
        <v>320</v>
      </c>
      <c r="C14" s="4" t="s">
        <v>335</v>
      </c>
      <c r="D14" s="4" t="s">
        <v>325</v>
      </c>
      <c r="E14" s="4" t="s">
        <v>179</v>
      </c>
      <c r="F14" s="4">
        <v>674</v>
      </c>
      <c r="G14" s="15">
        <v>46258</v>
      </c>
      <c r="H14" s="15">
        <v>46281</v>
      </c>
      <c r="I14" s="11">
        <v>1500</v>
      </c>
      <c r="J14" s="11">
        <v>42.27</v>
      </c>
      <c r="K14" s="11">
        <v>0</v>
      </c>
      <c r="L14" s="11">
        <v>0</v>
      </c>
      <c r="M14" s="11">
        <v>1457.73</v>
      </c>
      <c r="N14" s="5">
        <f t="shared" si="1"/>
        <v>1457.73</v>
      </c>
      <c r="O14" s="4" t="str">
        <f t="shared" si="2"/>
        <v>OK</v>
      </c>
    </row>
    <row r="15" spans="1:15" x14ac:dyDescent="0.3">
      <c r="A15" s="4" t="str">
        <f t="shared" si="0"/>
        <v>F|95948</v>
      </c>
      <c r="B15" s="4" t="s">
        <v>320</v>
      </c>
      <c r="C15" s="4" t="s">
        <v>336</v>
      </c>
      <c r="D15" s="4" t="s">
        <v>337</v>
      </c>
      <c r="E15" s="4" t="s">
        <v>210</v>
      </c>
      <c r="F15" s="4">
        <v>591</v>
      </c>
      <c r="G15" s="15">
        <v>46251</v>
      </c>
      <c r="H15" s="15">
        <v>46274</v>
      </c>
      <c r="I15" s="11">
        <v>2662.78</v>
      </c>
      <c r="J15" s="11">
        <v>133.13999999999999</v>
      </c>
      <c r="K15" s="11">
        <v>0</v>
      </c>
      <c r="L15" s="11">
        <v>0</v>
      </c>
      <c r="M15" s="11">
        <v>2529.64</v>
      </c>
      <c r="N15" s="5">
        <f t="shared" si="1"/>
        <v>2529.6400000000003</v>
      </c>
      <c r="O15" s="4" t="str">
        <f t="shared" si="2"/>
        <v>OK</v>
      </c>
    </row>
    <row r="16" spans="1:15" x14ac:dyDescent="0.3">
      <c r="A16" s="4" t="str">
        <f t="shared" si="0"/>
        <v>F|10498</v>
      </c>
      <c r="B16" s="4" t="s">
        <v>320</v>
      </c>
      <c r="C16" s="4" t="s">
        <v>338</v>
      </c>
      <c r="D16" s="4" t="s">
        <v>339</v>
      </c>
      <c r="E16" s="4" t="s">
        <v>118</v>
      </c>
      <c r="F16" s="4">
        <v>824</v>
      </c>
      <c r="G16" s="15">
        <v>46280</v>
      </c>
      <c r="H16" s="15">
        <v>46281</v>
      </c>
      <c r="I16" s="11">
        <v>11172.94</v>
      </c>
      <c r="J16" s="11">
        <v>0</v>
      </c>
      <c r="K16" s="11">
        <v>0</v>
      </c>
      <c r="L16" s="11">
        <v>0</v>
      </c>
      <c r="M16" s="11">
        <v>11172.94</v>
      </c>
      <c r="N16" s="5">
        <f t="shared" si="1"/>
        <v>11172.94</v>
      </c>
      <c r="O16" s="4" t="str">
        <f t="shared" si="2"/>
        <v>OK</v>
      </c>
    </row>
    <row r="17" spans="1:15" x14ac:dyDescent="0.3">
      <c r="A17" s="4" t="str">
        <f t="shared" si="0"/>
        <v>F|170</v>
      </c>
      <c r="B17" s="4" t="s">
        <v>320</v>
      </c>
      <c r="C17" s="4" t="s">
        <v>340</v>
      </c>
      <c r="D17" s="4" t="s">
        <v>325</v>
      </c>
      <c r="E17" s="4" t="s">
        <v>106</v>
      </c>
      <c r="F17" s="4">
        <v>622</v>
      </c>
      <c r="G17" s="15">
        <v>46237</v>
      </c>
      <c r="H17" s="15">
        <v>46274</v>
      </c>
      <c r="I17" s="11">
        <v>20000</v>
      </c>
      <c r="J17" s="11">
        <v>1230</v>
      </c>
      <c r="K17" s="11">
        <v>0</v>
      </c>
      <c r="L17" s="11">
        <v>0</v>
      </c>
      <c r="M17" s="11">
        <v>18770</v>
      </c>
      <c r="N17" s="5">
        <f t="shared" si="1"/>
        <v>18770</v>
      </c>
      <c r="O17" s="4" t="str">
        <f t="shared" si="2"/>
        <v>OK</v>
      </c>
    </row>
    <row r="18" spans="1:15" x14ac:dyDescent="0.3">
      <c r="A18" s="4" t="str">
        <f t="shared" si="0"/>
        <v>F|610</v>
      </c>
      <c r="B18" s="4" t="s">
        <v>320</v>
      </c>
      <c r="C18" s="4" t="s">
        <v>341</v>
      </c>
      <c r="D18" s="4" t="s">
        <v>342</v>
      </c>
      <c r="E18" s="4" t="s">
        <v>343</v>
      </c>
      <c r="F18" s="4">
        <v>784</v>
      </c>
      <c r="G18" s="15">
        <v>46266</v>
      </c>
      <c r="H18" s="15">
        <v>46281</v>
      </c>
      <c r="I18" s="11">
        <v>222321.21</v>
      </c>
      <c r="J18" s="11">
        <v>0</v>
      </c>
      <c r="K18" s="11">
        <v>0</v>
      </c>
      <c r="L18" s="11">
        <v>0</v>
      </c>
      <c r="M18" s="11">
        <v>222321.21</v>
      </c>
      <c r="N18" s="5">
        <f t="shared" si="1"/>
        <v>222321.21</v>
      </c>
      <c r="O18" s="4" t="str">
        <f t="shared" si="2"/>
        <v>OK</v>
      </c>
    </row>
    <row r="19" spans="1:15" x14ac:dyDescent="0.3">
      <c r="A19" s="4" t="str">
        <f t="shared" si="0"/>
        <v>F|613</v>
      </c>
      <c r="B19" s="4" t="s">
        <v>320</v>
      </c>
      <c r="C19" s="4" t="s">
        <v>341</v>
      </c>
      <c r="D19" s="4" t="s">
        <v>322</v>
      </c>
      <c r="E19" s="4" t="s">
        <v>344</v>
      </c>
      <c r="F19" s="4">
        <v>944</v>
      </c>
      <c r="G19" s="15">
        <v>46275</v>
      </c>
      <c r="H19" s="15">
        <v>46295</v>
      </c>
      <c r="I19" s="11">
        <v>225614.56</v>
      </c>
      <c r="J19" s="11">
        <v>0</v>
      </c>
      <c r="K19" s="11">
        <v>0</v>
      </c>
      <c r="L19" s="11">
        <v>0</v>
      </c>
      <c r="M19" s="11">
        <v>225614.56</v>
      </c>
      <c r="N19" s="5">
        <f t="shared" si="1"/>
        <v>225614.56</v>
      </c>
      <c r="O19" s="4" t="str">
        <f t="shared" si="2"/>
        <v>OK</v>
      </c>
    </row>
    <row r="20" spans="1:15" x14ac:dyDescent="0.3">
      <c r="A20" s="4" t="str">
        <f t="shared" si="0"/>
        <v>F|840236</v>
      </c>
      <c r="B20" s="4" t="s">
        <v>320</v>
      </c>
      <c r="C20" s="4" t="s">
        <v>345</v>
      </c>
      <c r="D20" s="4" t="s">
        <v>322</v>
      </c>
      <c r="E20" s="4" t="s">
        <v>346</v>
      </c>
      <c r="F20" s="4">
        <v>638</v>
      </c>
      <c r="G20" s="15">
        <v>46247</v>
      </c>
      <c r="H20" s="15">
        <v>46274</v>
      </c>
      <c r="I20" s="11">
        <v>2135</v>
      </c>
      <c r="J20" s="11">
        <v>0</v>
      </c>
      <c r="K20" s="11">
        <v>0</v>
      </c>
      <c r="L20" s="11">
        <v>0</v>
      </c>
      <c r="M20" s="11">
        <v>2135</v>
      </c>
      <c r="N20" s="5">
        <f t="shared" si="1"/>
        <v>2135</v>
      </c>
      <c r="O20" s="4" t="str">
        <f t="shared" si="2"/>
        <v>OK</v>
      </c>
    </row>
    <row r="21" spans="1:15" x14ac:dyDescent="0.3">
      <c r="A21" s="4" t="str">
        <f t="shared" si="0"/>
        <v>F|840206</v>
      </c>
      <c r="B21" s="4" t="s">
        <v>320</v>
      </c>
      <c r="C21" s="4" t="s">
        <v>345</v>
      </c>
      <c r="D21" s="4" t="s">
        <v>322</v>
      </c>
      <c r="E21" s="4" t="s">
        <v>347</v>
      </c>
      <c r="F21" s="4">
        <v>640</v>
      </c>
      <c r="G21" s="15">
        <v>46247</v>
      </c>
      <c r="H21" s="15">
        <v>46274</v>
      </c>
      <c r="I21" s="11">
        <v>3953.5</v>
      </c>
      <c r="J21" s="11">
        <v>0</v>
      </c>
      <c r="K21" s="11">
        <v>0</v>
      </c>
      <c r="L21" s="11">
        <v>0</v>
      </c>
      <c r="M21" s="11">
        <v>3953.5</v>
      </c>
      <c r="N21" s="5">
        <f t="shared" si="1"/>
        <v>3953.5</v>
      </c>
      <c r="O21" s="4" t="str">
        <f t="shared" si="2"/>
        <v>OK</v>
      </c>
    </row>
    <row r="22" spans="1:15" x14ac:dyDescent="0.3">
      <c r="A22" s="4" t="str">
        <f t="shared" si="0"/>
        <v>F|840239</v>
      </c>
      <c r="B22" s="4" t="s">
        <v>320</v>
      </c>
      <c r="C22" s="4" t="s">
        <v>345</v>
      </c>
      <c r="D22" s="4" t="s">
        <v>322</v>
      </c>
      <c r="E22" s="4" t="s">
        <v>348</v>
      </c>
      <c r="F22" s="4">
        <v>642</v>
      </c>
      <c r="G22" s="15">
        <v>46247</v>
      </c>
      <c r="H22" s="15">
        <v>46274</v>
      </c>
      <c r="I22" s="11">
        <v>4965</v>
      </c>
      <c r="J22" s="11">
        <v>0</v>
      </c>
      <c r="K22" s="11">
        <v>0</v>
      </c>
      <c r="L22" s="11">
        <v>0</v>
      </c>
      <c r="M22" s="11">
        <v>4965</v>
      </c>
      <c r="N22" s="5">
        <f t="shared" si="1"/>
        <v>4965</v>
      </c>
      <c r="O22" s="4" t="str">
        <f t="shared" si="2"/>
        <v>OK</v>
      </c>
    </row>
    <row r="23" spans="1:15" x14ac:dyDescent="0.3">
      <c r="A23" s="4" t="str">
        <f t="shared" si="0"/>
        <v>F|840205</v>
      </c>
      <c r="B23" s="4" t="s">
        <v>320</v>
      </c>
      <c r="C23" s="4" t="s">
        <v>345</v>
      </c>
      <c r="D23" s="4" t="s">
        <v>322</v>
      </c>
      <c r="E23" s="4" t="s">
        <v>349</v>
      </c>
      <c r="F23" s="4">
        <v>644</v>
      </c>
      <c r="G23" s="15">
        <v>46247</v>
      </c>
      <c r="H23" s="15">
        <v>46274</v>
      </c>
      <c r="I23" s="11">
        <v>1525</v>
      </c>
      <c r="J23" s="11">
        <v>0</v>
      </c>
      <c r="K23" s="11">
        <v>0</v>
      </c>
      <c r="L23" s="11">
        <v>0</v>
      </c>
      <c r="M23" s="11">
        <v>1525</v>
      </c>
      <c r="N23" s="5">
        <f t="shared" si="1"/>
        <v>1525</v>
      </c>
      <c r="O23" s="4" t="str">
        <f t="shared" si="2"/>
        <v>OK</v>
      </c>
    </row>
    <row r="24" spans="1:15" x14ac:dyDescent="0.3">
      <c r="A24" s="4" t="str">
        <f t="shared" si="0"/>
        <v>F|840238</v>
      </c>
      <c r="B24" s="4" t="s">
        <v>320</v>
      </c>
      <c r="C24" s="4" t="s">
        <v>345</v>
      </c>
      <c r="D24" s="4" t="s">
        <v>322</v>
      </c>
      <c r="E24" s="4" t="s">
        <v>350</v>
      </c>
      <c r="F24" s="4">
        <v>646</v>
      </c>
      <c r="G24" s="15">
        <v>46247</v>
      </c>
      <c r="H24" s="15">
        <v>46274</v>
      </c>
      <c r="I24" s="11">
        <v>1421.5</v>
      </c>
      <c r="J24" s="11">
        <v>0</v>
      </c>
      <c r="K24" s="11">
        <v>0</v>
      </c>
      <c r="L24" s="11">
        <v>0.3</v>
      </c>
      <c r="M24" s="11">
        <v>1421.8</v>
      </c>
      <c r="N24" s="5">
        <f t="shared" si="1"/>
        <v>1421.8</v>
      </c>
      <c r="O24" s="4" t="str">
        <f t="shared" si="2"/>
        <v>OK</v>
      </c>
    </row>
    <row r="25" spans="1:15" x14ac:dyDescent="0.3">
      <c r="A25" s="4" t="str">
        <f t="shared" si="0"/>
        <v>F|51</v>
      </c>
      <c r="B25" s="4" t="s">
        <v>320</v>
      </c>
      <c r="C25" s="4" t="s">
        <v>351</v>
      </c>
      <c r="D25" s="4" t="s">
        <v>325</v>
      </c>
      <c r="E25" s="4" t="s">
        <v>352</v>
      </c>
      <c r="F25" s="4">
        <v>735</v>
      </c>
      <c r="G25" s="15">
        <v>46267</v>
      </c>
      <c r="H25" s="15">
        <v>46281</v>
      </c>
      <c r="I25" s="11">
        <v>66407.63</v>
      </c>
      <c r="J25" s="11">
        <v>8320.8799999999992</v>
      </c>
      <c r="K25" s="11">
        <v>0</v>
      </c>
      <c r="L25" s="11">
        <v>0</v>
      </c>
      <c r="M25" s="11">
        <v>58086.75</v>
      </c>
      <c r="N25" s="5">
        <f t="shared" si="1"/>
        <v>58086.750000000007</v>
      </c>
      <c r="O25" s="4" t="str">
        <f t="shared" si="2"/>
        <v>OK</v>
      </c>
    </row>
    <row r="26" spans="1:15" x14ac:dyDescent="0.3">
      <c r="A26" s="4" t="str">
        <f t="shared" si="0"/>
        <v>F|2189</v>
      </c>
      <c r="B26" s="4" t="s">
        <v>320</v>
      </c>
      <c r="C26" s="4" t="s">
        <v>353</v>
      </c>
      <c r="D26" s="4" t="s">
        <v>322</v>
      </c>
      <c r="E26" s="4" t="s">
        <v>354</v>
      </c>
      <c r="F26" s="4">
        <v>581</v>
      </c>
      <c r="G26" s="15">
        <v>46246</v>
      </c>
      <c r="H26" s="15">
        <v>46274</v>
      </c>
      <c r="I26" s="11">
        <v>15225</v>
      </c>
      <c r="J26" s="11">
        <v>0</v>
      </c>
      <c r="K26" s="11">
        <v>0</v>
      </c>
      <c r="L26" s="11">
        <v>0</v>
      </c>
      <c r="M26" s="11">
        <v>15225</v>
      </c>
      <c r="N26" s="5">
        <f t="shared" si="1"/>
        <v>15225</v>
      </c>
      <c r="O26" s="4" t="str">
        <f t="shared" si="2"/>
        <v>OK</v>
      </c>
    </row>
    <row r="27" spans="1:15" x14ac:dyDescent="0.3">
      <c r="A27" s="4" t="str">
        <f t="shared" si="0"/>
        <v>F|2193</v>
      </c>
      <c r="B27" s="4" t="s">
        <v>320</v>
      </c>
      <c r="C27" s="4" t="s">
        <v>353</v>
      </c>
      <c r="D27" s="4" t="s">
        <v>322</v>
      </c>
      <c r="E27" s="4" t="s">
        <v>355</v>
      </c>
      <c r="F27" s="4">
        <v>585</v>
      </c>
      <c r="G27" s="15">
        <v>46248</v>
      </c>
      <c r="H27" s="15">
        <v>46274</v>
      </c>
      <c r="I27" s="11">
        <v>20455</v>
      </c>
      <c r="J27" s="11">
        <v>0</v>
      </c>
      <c r="K27" s="11">
        <v>0</v>
      </c>
      <c r="L27" s="11">
        <v>0</v>
      </c>
      <c r="M27" s="11">
        <v>20455</v>
      </c>
      <c r="N27" s="5">
        <f t="shared" si="1"/>
        <v>20455</v>
      </c>
      <c r="O27" s="4" t="str">
        <f t="shared" si="2"/>
        <v>OK</v>
      </c>
    </row>
    <row r="28" spans="1:15" x14ac:dyDescent="0.3">
      <c r="A28" s="4" t="str">
        <f t="shared" si="0"/>
        <v>F|9181</v>
      </c>
      <c r="B28" s="4" t="s">
        <v>320</v>
      </c>
      <c r="C28" s="4" t="s">
        <v>356</v>
      </c>
      <c r="D28" s="4" t="s">
        <v>322</v>
      </c>
      <c r="E28" s="4" t="s">
        <v>357</v>
      </c>
      <c r="F28" s="4">
        <v>741</v>
      </c>
      <c r="G28" s="15">
        <v>46253</v>
      </c>
      <c r="H28" s="15">
        <v>46281</v>
      </c>
      <c r="I28" s="11">
        <v>15431.8</v>
      </c>
      <c r="J28" s="11">
        <v>0</v>
      </c>
      <c r="K28" s="11">
        <v>0</v>
      </c>
      <c r="L28" s="11">
        <v>2.7</v>
      </c>
      <c r="M28" s="11">
        <v>15434.5</v>
      </c>
      <c r="N28" s="5">
        <f t="shared" si="1"/>
        <v>15434.5</v>
      </c>
      <c r="O28" s="4" t="str">
        <f t="shared" si="2"/>
        <v>OK</v>
      </c>
    </row>
    <row r="29" spans="1:15" x14ac:dyDescent="0.3">
      <c r="A29" s="4" t="str">
        <f t="shared" si="0"/>
        <v>F|308979</v>
      </c>
      <c r="B29" s="4" t="s">
        <v>320</v>
      </c>
      <c r="C29" s="4" t="s">
        <v>358</v>
      </c>
      <c r="D29" s="4" t="s">
        <v>322</v>
      </c>
      <c r="E29" s="4" t="s">
        <v>359</v>
      </c>
      <c r="F29" s="4">
        <v>626</v>
      </c>
      <c r="G29" s="15">
        <v>46238</v>
      </c>
      <c r="H29" s="15">
        <v>46267</v>
      </c>
      <c r="I29" s="11">
        <v>1851.9</v>
      </c>
      <c r="J29" s="11">
        <v>0</v>
      </c>
      <c r="K29" s="11">
        <v>0</v>
      </c>
      <c r="L29" s="11">
        <v>0</v>
      </c>
      <c r="M29" s="11">
        <v>1851.9</v>
      </c>
      <c r="N29" s="5">
        <f t="shared" si="1"/>
        <v>1851.9</v>
      </c>
      <c r="O29" s="4" t="str">
        <f t="shared" si="2"/>
        <v>OK</v>
      </c>
    </row>
    <row r="30" spans="1:15" x14ac:dyDescent="0.3">
      <c r="A30" s="4" t="str">
        <f t="shared" si="0"/>
        <v>F|4295</v>
      </c>
      <c r="B30" s="4" t="s">
        <v>320</v>
      </c>
      <c r="C30" s="4" t="s">
        <v>360</v>
      </c>
      <c r="D30" s="4" t="s">
        <v>322</v>
      </c>
      <c r="E30" s="4" t="s">
        <v>361</v>
      </c>
      <c r="F30" s="4">
        <v>612</v>
      </c>
      <c r="G30" s="15">
        <v>46245</v>
      </c>
      <c r="H30" s="15">
        <v>46267</v>
      </c>
      <c r="I30" s="11">
        <v>2924</v>
      </c>
      <c r="J30" s="11">
        <v>0</v>
      </c>
      <c r="K30" s="11">
        <v>0</v>
      </c>
      <c r="L30" s="11">
        <v>0</v>
      </c>
      <c r="M30" s="11">
        <v>2924</v>
      </c>
      <c r="N30" s="5">
        <f t="shared" si="1"/>
        <v>2924</v>
      </c>
      <c r="O30" s="4" t="str">
        <f t="shared" si="2"/>
        <v>OK</v>
      </c>
    </row>
    <row r="31" spans="1:15" x14ac:dyDescent="0.3">
      <c r="A31" s="4" t="str">
        <f t="shared" si="0"/>
        <v>F|3611480</v>
      </c>
      <c r="B31" s="4" t="s">
        <v>320</v>
      </c>
      <c r="C31" s="4" t="s">
        <v>362</v>
      </c>
      <c r="D31" s="4" t="s">
        <v>322</v>
      </c>
      <c r="E31" s="4" t="s">
        <v>363</v>
      </c>
      <c r="F31" s="4">
        <v>605</v>
      </c>
      <c r="G31" s="15">
        <v>46247</v>
      </c>
      <c r="H31" s="15">
        <v>46267</v>
      </c>
      <c r="I31" s="11">
        <v>172351.89</v>
      </c>
      <c r="J31" s="11">
        <v>0</v>
      </c>
      <c r="K31" s="11">
        <v>0</v>
      </c>
      <c r="L31" s="11">
        <v>0</v>
      </c>
      <c r="M31" s="11">
        <v>172351.89</v>
      </c>
      <c r="N31" s="5">
        <f t="shared" si="1"/>
        <v>172351.89</v>
      </c>
      <c r="O31" s="4" t="str">
        <f t="shared" si="2"/>
        <v>OK</v>
      </c>
    </row>
    <row r="32" spans="1:15" x14ac:dyDescent="0.3">
      <c r="A32" s="4" t="str">
        <f t="shared" si="0"/>
        <v>F|3611743</v>
      </c>
      <c r="B32" s="4" t="s">
        <v>320</v>
      </c>
      <c r="C32" s="4" t="s">
        <v>362</v>
      </c>
      <c r="D32" s="4" t="s">
        <v>322</v>
      </c>
      <c r="E32" s="4" t="s">
        <v>364</v>
      </c>
      <c r="F32" s="4">
        <v>611</v>
      </c>
      <c r="G32" s="15">
        <v>46248</v>
      </c>
      <c r="H32" s="15">
        <v>46267</v>
      </c>
      <c r="I32" s="11">
        <v>162042.73000000001</v>
      </c>
      <c r="J32" s="11">
        <v>0</v>
      </c>
      <c r="K32" s="11">
        <v>0</v>
      </c>
      <c r="L32" s="11">
        <v>0</v>
      </c>
      <c r="M32" s="11">
        <v>162042.73000000001</v>
      </c>
      <c r="N32" s="5">
        <f t="shared" si="1"/>
        <v>162042.73000000001</v>
      </c>
      <c r="O32" s="4" t="str">
        <f t="shared" si="2"/>
        <v>OK</v>
      </c>
    </row>
    <row r="33" spans="1:15" x14ac:dyDescent="0.3">
      <c r="A33" s="4" t="str">
        <f t="shared" si="0"/>
        <v>F|3617988</v>
      </c>
      <c r="B33" s="4" t="s">
        <v>320</v>
      </c>
      <c r="C33" s="4" t="s">
        <v>362</v>
      </c>
      <c r="D33" s="4" t="s">
        <v>322</v>
      </c>
      <c r="E33" s="4" t="s">
        <v>365</v>
      </c>
      <c r="F33" s="4">
        <v>610</v>
      </c>
      <c r="G33" s="15">
        <v>46255</v>
      </c>
      <c r="H33" s="15">
        <v>46274</v>
      </c>
      <c r="I33" s="11">
        <v>145344.76999999999</v>
      </c>
      <c r="J33" s="11">
        <v>0</v>
      </c>
      <c r="K33" s="11">
        <v>0</v>
      </c>
      <c r="L33" s="11">
        <v>0</v>
      </c>
      <c r="M33" s="11">
        <v>145344.76999999999</v>
      </c>
      <c r="N33" s="5">
        <f t="shared" si="1"/>
        <v>145344.76999999999</v>
      </c>
      <c r="O33" s="4" t="str">
        <f t="shared" si="2"/>
        <v>OK</v>
      </c>
    </row>
    <row r="34" spans="1:15" x14ac:dyDescent="0.3">
      <c r="A34" s="4" t="str">
        <f t="shared" si="0"/>
        <v>F|3618398</v>
      </c>
      <c r="B34" s="4" t="s">
        <v>320</v>
      </c>
      <c r="C34" s="4" t="s">
        <v>362</v>
      </c>
      <c r="D34" s="4" t="s">
        <v>322</v>
      </c>
      <c r="E34" s="4" t="s">
        <v>366</v>
      </c>
      <c r="F34" s="4">
        <v>608</v>
      </c>
      <c r="G34" s="15">
        <v>46256</v>
      </c>
      <c r="H34" s="15">
        <v>46274</v>
      </c>
      <c r="I34" s="11">
        <v>166108.31</v>
      </c>
      <c r="J34" s="11">
        <v>0</v>
      </c>
      <c r="K34" s="11">
        <v>0</v>
      </c>
      <c r="L34" s="11">
        <v>0</v>
      </c>
      <c r="M34" s="11">
        <v>166108.31</v>
      </c>
      <c r="N34" s="5">
        <f t="shared" si="1"/>
        <v>166108.31</v>
      </c>
      <c r="O34" s="4" t="str">
        <f t="shared" si="2"/>
        <v>OK</v>
      </c>
    </row>
    <row r="35" spans="1:15" x14ac:dyDescent="0.3">
      <c r="A35" s="4" t="str">
        <f t="shared" si="0"/>
        <v>F|3620616</v>
      </c>
      <c r="B35" s="4" t="s">
        <v>320</v>
      </c>
      <c r="C35" s="4" t="s">
        <v>362</v>
      </c>
      <c r="D35" s="4" t="s">
        <v>322</v>
      </c>
      <c r="E35" s="4" t="s">
        <v>367</v>
      </c>
      <c r="F35" s="4">
        <v>705</v>
      </c>
      <c r="G35" s="15">
        <v>46260</v>
      </c>
      <c r="H35" s="15">
        <v>46281</v>
      </c>
      <c r="I35" s="11">
        <v>166108.31</v>
      </c>
      <c r="J35" s="11">
        <v>0</v>
      </c>
      <c r="K35" s="11">
        <v>0</v>
      </c>
      <c r="L35" s="11">
        <v>0</v>
      </c>
      <c r="M35" s="11">
        <v>166108.31</v>
      </c>
      <c r="N35" s="5">
        <f t="shared" si="1"/>
        <v>166108.31</v>
      </c>
      <c r="O35" s="4" t="str">
        <f t="shared" si="2"/>
        <v>OK</v>
      </c>
    </row>
    <row r="36" spans="1:15" x14ac:dyDescent="0.3">
      <c r="A36" s="4" t="str">
        <f t="shared" si="0"/>
        <v>F|3627477</v>
      </c>
      <c r="B36" s="4" t="s">
        <v>320</v>
      </c>
      <c r="C36" s="4" t="s">
        <v>362</v>
      </c>
      <c r="D36" s="4" t="s">
        <v>322</v>
      </c>
      <c r="E36" s="4" t="s">
        <v>368</v>
      </c>
      <c r="F36" s="4">
        <v>739</v>
      </c>
      <c r="G36" s="15">
        <v>46268</v>
      </c>
      <c r="H36" s="15">
        <v>46288</v>
      </c>
      <c r="I36" s="11">
        <v>49296.08</v>
      </c>
      <c r="J36" s="11">
        <v>0</v>
      </c>
      <c r="K36" s="11">
        <v>0</v>
      </c>
      <c r="L36" s="11">
        <v>0</v>
      </c>
      <c r="M36" s="11">
        <v>49296.08</v>
      </c>
      <c r="N36" s="5">
        <f t="shared" si="1"/>
        <v>49296.08</v>
      </c>
      <c r="O36" s="4" t="str">
        <f t="shared" si="2"/>
        <v>OK</v>
      </c>
    </row>
    <row r="37" spans="1:15" x14ac:dyDescent="0.3">
      <c r="A37" s="4" t="str">
        <f t="shared" ref="A37:A68" si="3">LEFT(B37,1)&amp;"|"&amp;E37</f>
        <v>F|3627476</v>
      </c>
      <c r="B37" s="4" t="s">
        <v>320</v>
      </c>
      <c r="C37" s="4" t="s">
        <v>362</v>
      </c>
      <c r="D37" s="4" t="s">
        <v>322</v>
      </c>
      <c r="E37" s="4" t="s">
        <v>369</v>
      </c>
      <c r="F37" s="4">
        <v>759</v>
      </c>
      <c r="G37" s="15">
        <v>46268</v>
      </c>
      <c r="H37" s="15">
        <v>46288</v>
      </c>
      <c r="I37" s="11">
        <v>103817.7</v>
      </c>
      <c r="J37" s="11">
        <v>0</v>
      </c>
      <c r="K37" s="11">
        <v>0</v>
      </c>
      <c r="L37" s="11">
        <v>0</v>
      </c>
      <c r="M37" s="11">
        <v>103817.7</v>
      </c>
      <c r="N37" s="5">
        <f t="shared" ref="N37:N68" si="4">I37-J37-K37+L37</f>
        <v>103817.7</v>
      </c>
      <c r="O37" s="4" t="str">
        <f t="shared" ref="O37:O68" si="5">IF(ABS(N37-M37)&lt;0.005,"OK","VERIFICAR")</f>
        <v>OK</v>
      </c>
    </row>
    <row r="38" spans="1:15" x14ac:dyDescent="0.3">
      <c r="A38" s="4" t="str">
        <f t="shared" si="3"/>
        <v>F|3628341</v>
      </c>
      <c r="B38" s="4" t="s">
        <v>320</v>
      </c>
      <c r="C38" s="4" t="s">
        <v>362</v>
      </c>
      <c r="D38" s="4" t="s">
        <v>322</v>
      </c>
      <c r="E38" s="4" t="s">
        <v>370</v>
      </c>
      <c r="F38" s="4">
        <v>740</v>
      </c>
      <c r="G38" s="15">
        <v>46269</v>
      </c>
      <c r="H38" s="15">
        <v>46288</v>
      </c>
      <c r="I38" s="11">
        <v>103817.69</v>
      </c>
      <c r="J38" s="11">
        <v>0</v>
      </c>
      <c r="K38" s="11">
        <v>0</v>
      </c>
      <c r="L38" s="11">
        <v>0</v>
      </c>
      <c r="M38" s="11">
        <v>103817.69</v>
      </c>
      <c r="N38" s="5">
        <f t="shared" si="4"/>
        <v>103817.69</v>
      </c>
      <c r="O38" s="4" t="str">
        <f t="shared" si="5"/>
        <v>OK</v>
      </c>
    </row>
    <row r="39" spans="1:15" x14ac:dyDescent="0.3">
      <c r="A39" s="4" t="str">
        <f t="shared" si="3"/>
        <v>F|22853</v>
      </c>
      <c r="B39" s="4" t="s">
        <v>320</v>
      </c>
      <c r="C39" s="4" t="s">
        <v>371</v>
      </c>
      <c r="D39" s="4" t="s">
        <v>325</v>
      </c>
      <c r="E39" s="4" t="s">
        <v>202</v>
      </c>
      <c r="F39" s="4">
        <v>563</v>
      </c>
      <c r="G39" s="15">
        <v>46245</v>
      </c>
      <c r="H39" s="15">
        <v>46267</v>
      </c>
      <c r="I39" s="11">
        <v>2900</v>
      </c>
      <c r="J39" s="11">
        <v>178.35</v>
      </c>
      <c r="K39" s="11">
        <v>0</v>
      </c>
      <c r="L39" s="11">
        <v>0</v>
      </c>
      <c r="M39" s="11">
        <v>2721.65</v>
      </c>
      <c r="N39" s="5">
        <f t="shared" si="4"/>
        <v>2721.65</v>
      </c>
      <c r="O39" s="4" t="str">
        <f t="shared" si="5"/>
        <v>OK</v>
      </c>
    </row>
    <row r="40" spans="1:15" x14ac:dyDescent="0.3">
      <c r="A40" s="4" t="str">
        <f t="shared" si="3"/>
        <v>F|23002</v>
      </c>
      <c r="B40" s="4" t="s">
        <v>320</v>
      </c>
      <c r="C40" s="4" t="s">
        <v>371</v>
      </c>
      <c r="D40" s="4" t="s">
        <v>325</v>
      </c>
      <c r="E40" s="4" t="s">
        <v>372</v>
      </c>
      <c r="F40" s="4">
        <v>750</v>
      </c>
      <c r="G40" s="15">
        <v>46266</v>
      </c>
      <c r="H40" s="15">
        <v>46288</v>
      </c>
      <c r="I40" s="11">
        <v>700</v>
      </c>
      <c r="J40" s="11">
        <v>0</v>
      </c>
      <c r="K40" s="11">
        <v>0</v>
      </c>
      <c r="L40" s="11">
        <v>0</v>
      </c>
      <c r="M40" s="11">
        <v>700</v>
      </c>
      <c r="N40" s="5">
        <f t="shared" si="4"/>
        <v>700</v>
      </c>
      <c r="O40" s="4" t="str">
        <f t="shared" si="5"/>
        <v>OK</v>
      </c>
    </row>
    <row r="41" spans="1:15" x14ac:dyDescent="0.3">
      <c r="A41" s="4" t="str">
        <f t="shared" si="3"/>
        <v>F|635</v>
      </c>
      <c r="B41" s="4" t="s">
        <v>320</v>
      </c>
      <c r="C41" s="4" t="s">
        <v>373</v>
      </c>
      <c r="D41" s="4" t="s">
        <v>322</v>
      </c>
      <c r="E41" s="4" t="s">
        <v>374</v>
      </c>
      <c r="F41" s="4">
        <v>658</v>
      </c>
      <c r="G41" s="15">
        <v>46262</v>
      </c>
      <c r="H41" s="15">
        <v>46281</v>
      </c>
      <c r="I41" s="11">
        <v>3960</v>
      </c>
      <c r="J41" s="11">
        <v>0</v>
      </c>
      <c r="K41" s="11">
        <v>0</v>
      </c>
      <c r="L41" s="11">
        <v>0</v>
      </c>
      <c r="M41" s="11">
        <v>3960</v>
      </c>
      <c r="N41" s="5">
        <f t="shared" si="4"/>
        <v>3960</v>
      </c>
      <c r="O41" s="4" t="str">
        <f t="shared" si="5"/>
        <v>OK</v>
      </c>
    </row>
    <row r="42" spans="1:15" x14ac:dyDescent="0.3">
      <c r="A42" s="4" t="str">
        <f t="shared" si="3"/>
        <v>F|617</v>
      </c>
      <c r="B42" s="4" t="s">
        <v>320</v>
      </c>
      <c r="C42" s="4" t="s">
        <v>375</v>
      </c>
      <c r="D42" s="4" t="s">
        <v>322</v>
      </c>
      <c r="E42" s="4" t="s">
        <v>376</v>
      </c>
      <c r="F42" s="4">
        <v>817</v>
      </c>
      <c r="G42" s="15">
        <v>46259</v>
      </c>
      <c r="H42" s="15">
        <v>46288</v>
      </c>
      <c r="I42" s="11">
        <v>3430</v>
      </c>
      <c r="J42" s="11">
        <v>0</v>
      </c>
      <c r="K42" s="11">
        <v>0</v>
      </c>
      <c r="L42" s="11">
        <v>0</v>
      </c>
      <c r="M42" s="11">
        <v>3430</v>
      </c>
      <c r="N42" s="5">
        <f t="shared" si="4"/>
        <v>3430</v>
      </c>
      <c r="O42" s="4" t="str">
        <f t="shared" si="5"/>
        <v>OK</v>
      </c>
    </row>
    <row r="43" spans="1:15" x14ac:dyDescent="0.3">
      <c r="A43" s="4" t="str">
        <f t="shared" si="3"/>
        <v>F|621</v>
      </c>
      <c r="B43" s="4" t="s">
        <v>320</v>
      </c>
      <c r="C43" s="4" t="s">
        <v>375</v>
      </c>
      <c r="D43" s="4" t="s">
        <v>322</v>
      </c>
      <c r="E43" s="4" t="s">
        <v>377</v>
      </c>
      <c r="F43" s="4">
        <v>723</v>
      </c>
      <c r="G43" s="15">
        <v>46266</v>
      </c>
      <c r="H43" s="15">
        <v>46295</v>
      </c>
      <c r="I43" s="11">
        <v>4515.62</v>
      </c>
      <c r="J43" s="11">
        <v>0</v>
      </c>
      <c r="K43" s="11">
        <v>0</v>
      </c>
      <c r="L43" s="11">
        <v>0</v>
      </c>
      <c r="M43" s="11">
        <v>4515.62</v>
      </c>
      <c r="N43" s="5">
        <f t="shared" si="4"/>
        <v>4515.62</v>
      </c>
      <c r="O43" s="4" t="str">
        <f t="shared" si="5"/>
        <v>OK</v>
      </c>
    </row>
    <row r="44" spans="1:15" x14ac:dyDescent="0.3">
      <c r="A44" s="21" t="str">
        <f t="shared" si="3"/>
        <v>T|23391</v>
      </c>
      <c r="B44" s="21" t="s">
        <v>378</v>
      </c>
      <c r="C44" s="21" t="s">
        <v>123</v>
      </c>
      <c r="D44" s="21" t="s">
        <v>87</v>
      </c>
      <c r="E44" s="21" t="s">
        <v>170</v>
      </c>
      <c r="F44" s="21">
        <v>575</v>
      </c>
      <c r="G44" s="22">
        <v>46241</v>
      </c>
      <c r="H44" s="22">
        <v>46274</v>
      </c>
      <c r="I44" s="23">
        <v>161.65</v>
      </c>
      <c r="J44" s="23">
        <v>0</v>
      </c>
      <c r="K44" s="23">
        <v>0</v>
      </c>
      <c r="L44" s="23">
        <v>0</v>
      </c>
      <c r="M44" s="23">
        <v>161.65</v>
      </c>
      <c r="N44" s="24">
        <f t="shared" si="4"/>
        <v>161.65</v>
      </c>
      <c r="O44" s="21" t="str">
        <f t="shared" si="5"/>
        <v>OK</v>
      </c>
    </row>
    <row r="45" spans="1:15" x14ac:dyDescent="0.3">
      <c r="A45" s="21" t="str">
        <f t="shared" si="3"/>
        <v>T|500</v>
      </c>
      <c r="B45" s="21" t="s">
        <v>378</v>
      </c>
      <c r="C45" s="21" t="s">
        <v>123</v>
      </c>
      <c r="D45" s="21" t="s">
        <v>87</v>
      </c>
      <c r="E45" s="21" t="s">
        <v>220</v>
      </c>
      <c r="F45" s="21">
        <v>569</v>
      </c>
      <c r="G45" s="22">
        <v>46244</v>
      </c>
      <c r="H45" s="22">
        <v>46274</v>
      </c>
      <c r="I45" s="23">
        <v>470</v>
      </c>
      <c r="J45" s="23">
        <v>0</v>
      </c>
      <c r="K45" s="23">
        <v>0</v>
      </c>
      <c r="L45" s="23">
        <v>0</v>
      </c>
      <c r="M45" s="23">
        <v>470</v>
      </c>
      <c r="N45" s="24">
        <f t="shared" si="4"/>
        <v>470</v>
      </c>
      <c r="O45" s="21" t="str">
        <f t="shared" si="5"/>
        <v>OK</v>
      </c>
    </row>
    <row r="46" spans="1:15" x14ac:dyDescent="0.3">
      <c r="A46" s="21" t="str">
        <f t="shared" si="3"/>
        <v>T|37444</v>
      </c>
      <c r="B46" s="21" t="s">
        <v>378</v>
      </c>
      <c r="C46" s="21" t="s">
        <v>123</v>
      </c>
      <c r="D46" s="21" t="s">
        <v>87</v>
      </c>
      <c r="E46" s="21" t="s">
        <v>188</v>
      </c>
      <c r="F46" s="21">
        <v>676</v>
      </c>
      <c r="G46" s="22">
        <v>46244</v>
      </c>
      <c r="H46" s="22">
        <v>46274</v>
      </c>
      <c r="I46" s="23">
        <v>90</v>
      </c>
      <c r="J46" s="23">
        <v>0</v>
      </c>
      <c r="K46" s="23">
        <v>0</v>
      </c>
      <c r="L46" s="23">
        <v>0</v>
      </c>
      <c r="M46" s="23">
        <v>90</v>
      </c>
      <c r="N46" s="24">
        <f t="shared" si="4"/>
        <v>90</v>
      </c>
      <c r="O46" s="21" t="str">
        <f t="shared" si="5"/>
        <v>OK</v>
      </c>
    </row>
    <row r="47" spans="1:15" x14ac:dyDescent="0.3">
      <c r="A47" s="21" t="str">
        <f t="shared" si="3"/>
        <v>T|99</v>
      </c>
      <c r="B47" s="21" t="s">
        <v>378</v>
      </c>
      <c r="C47" s="21" t="s">
        <v>123</v>
      </c>
      <c r="D47" s="21" t="s">
        <v>87</v>
      </c>
      <c r="E47" s="21" t="s">
        <v>240</v>
      </c>
      <c r="F47" s="21">
        <v>583</v>
      </c>
      <c r="G47" s="22">
        <v>46245</v>
      </c>
      <c r="H47" s="22">
        <v>46274</v>
      </c>
      <c r="I47" s="23">
        <v>487.45</v>
      </c>
      <c r="J47" s="23">
        <v>0</v>
      </c>
      <c r="K47" s="23">
        <v>0</v>
      </c>
      <c r="L47" s="23">
        <v>0</v>
      </c>
      <c r="M47" s="23">
        <v>487.45</v>
      </c>
      <c r="N47" s="24">
        <f t="shared" si="4"/>
        <v>487.45</v>
      </c>
      <c r="O47" s="21" t="str">
        <f t="shared" si="5"/>
        <v>OK</v>
      </c>
    </row>
    <row r="48" spans="1:15" x14ac:dyDescent="0.3">
      <c r="A48" s="21" t="str">
        <f t="shared" si="3"/>
        <v>T|95948</v>
      </c>
      <c r="B48" s="21" t="s">
        <v>378</v>
      </c>
      <c r="C48" s="21" t="s">
        <v>123</v>
      </c>
      <c r="D48" s="21" t="s">
        <v>87</v>
      </c>
      <c r="E48" s="21" t="s">
        <v>210</v>
      </c>
      <c r="F48" s="21">
        <v>591</v>
      </c>
      <c r="G48" s="22">
        <v>46251</v>
      </c>
      <c r="H48" s="22">
        <v>46274</v>
      </c>
      <c r="I48" s="23">
        <v>133.13999999999999</v>
      </c>
      <c r="J48" s="23">
        <v>0</v>
      </c>
      <c r="K48" s="23">
        <v>0</v>
      </c>
      <c r="L48" s="23">
        <v>0</v>
      </c>
      <c r="M48" s="23">
        <v>133.13999999999999</v>
      </c>
      <c r="N48" s="24">
        <f t="shared" si="4"/>
        <v>133.13999999999999</v>
      </c>
      <c r="O48" s="21" t="str">
        <f t="shared" si="5"/>
        <v>OK</v>
      </c>
    </row>
    <row r="49" spans="1:15" x14ac:dyDescent="0.3">
      <c r="A49" s="21" t="str">
        <f t="shared" si="3"/>
        <v>T|5273</v>
      </c>
      <c r="B49" s="21" t="s">
        <v>378</v>
      </c>
      <c r="C49" s="21" t="s">
        <v>123</v>
      </c>
      <c r="D49" s="21" t="s">
        <v>87</v>
      </c>
      <c r="E49" s="21" t="s">
        <v>257</v>
      </c>
      <c r="F49" s="21">
        <v>593</v>
      </c>
      <c r="G49" s="22">
        <v>46253</v>
      </c>
      <c r="H49" s="22">
        <v>46274</v>
      </c>
      <c r="I49" s="23">
        <v>133.68</v>
      </c>
      <c r="J49" s="23">
        <v>0</v>
      </c>
      <c r="K49" s="23">
        <v>0.04</v>
      </c>
      <c r="L49" s="23">
        <v>0</v>
      </c>
      <c r="M49" s="23">
        <v>133.63999999999999</v>
      </c>
      <c r="N49" s="24">
        <f t="shared" si="4"/>
        <v>133.64000000000001</v>
      </c>
      <c r="O49" s="21" t="str">
        <f t="shared" si="5"/>
        <v>OK</v>
      </c>
    </row>
    <row r="50" spans="1:15" x14ac:dyDescent="0.3">
      <c r="A50" s="21" t="str">
        <f t="shared" si="3"/>
        <v>T|7662</v>
      </c>
      <c r="B50" s="21" t="s">
        <v>378</v>
      </c>
      <c r="C50" s="21" t="s">
        <v>123</v>
      </c>
      <c r="D50" s="21" t="s">
        <v>87</v>
      </c>
      <c r="E50" s="21" t="s">
        <v>145</v>
      </c>
      <c r="F50" s="21">
        <v>602</v>
      </c>
      <c r="G50" s="22">
        <v>46253</v>
      </c>
      <c r="H50" s="22">
        <v>46274</v>
      </c>
      <c r="I50" s="23">
        <v>36</v>
      </c>
      <c r="J50" s="23">
        <v>0</v>
      </c>
      <c r="K50" s="23">
        <v>0</v>
      </c>
      <c r="L50" s="23">
        <v>0</v>
      </c>
      <c r="M50" s="23">
        <v>36</v>
      </c>
      <c r="N50" s="24">
        <f t="shared" si="4"/>
        <v>36</v>
      </c>
      <c r="O50" s="21" t="str">
        <f t="shared" si="5"/>
        <v>OK</v>
      </c>
    </row>
    <row r="51" spans="1:15" x14ac:dyDescent="0.3">
      <c r="A51" s="21" t="str">
        <f t="shared" si="3"/>
        <v>T|1088</v>
      </c>
      <c r="B51" s="21" t="s">
        <v>378</v>
      </c>
      <c r="C51" s="21" t="s">
        <v>123</v>
      </c>
      <c r="D51" s="21" t="s">
        <v>87</v>
      </c>
      <c r="E51" s="21" t="s">
        <v>179</v>
      </c>
      <c r="F51" s="21">
        <v>674</v>
      </c>
      <c r="G51" s="22">
        <v>46258</v>
      </c>
      <c r="H51" s="22">
        <v>46274</v>
      </c>
      <c r="I51" s="23">
        <v>42.27</v>
      </c>
      <c r="J51" s="23">
        <v>0</v>
      </c>
      <c r="K51" s="23">
        <v>0</v>
      </c>
      <c r="L51" s="23">
        <v>0</v>
      </c>
      <c r="M51" s="23">
        <v>42.27</v>
      </c>
      <c r="N51" s="24">
        <f t="shared" si="4"/>
        <v>42.27</v>
      </c>
      <c r="O51" s="21" t="str">
        <f t="shared" si="5"/>
        <v>OK</v>
      </c>
    </row>
    <row r="52" spans="1:15" x14ac:dyDescent="0.3">
      <c r="A52" s="21" t="str">
        <f t="shared" si="3"/>
        <v>T|10498</v>
      </c>
      <c r="B52" s="21" t="s">
        <v>378</v>
      </c>
      <c r="C52" s="21" t="s">
        <v>123</v>
      </c>
      <c r="D52" s="21" t="s">
        <v>87</v>
      </c>
      <c r="E52" s="21" t="s">
        <v>118</v>
      </c>
      <c r="F52" s="21">
        <v>713</v>
      </c>
      <c r="G52" s="22">
        <v>46258</v>
      </c>
      <c r="H52" s="22">
        <v>46274</v>
      </c>
      <c r="I52" s="23">
        <v>227.06</v>
      </c>
      <c r="J52" s="23">
        <v>0</v>
      </c>
      <c r="K52" s="23">
        <v>0</v>
      </c>
      <c r="L52" s="23">
        <v>0</v>
      </c>
      <c r="M52" s="23">
        <v>227.06</v>
      </c>
      <c r="N52" s="24">
        <f t="shared" si="4"/>
        <v>227.06</v>
      </c>
      <c r="O52" s="21" t="str">
        <f t="shared" si="5"/>
        <v>OK</v>
      </c>
    </row>
    <row r="53" spans="1:15" x14ac:dyDescent="0.3">
      <c r="A53" s="21" t="str">
        <f t="shared" si="3"/>
        <v>T|5826</v>
      </c>
      <c r="B53" s="21" t="s">
        <v>378</v>
      </c>
      <c r="C53" s="21" t="s">
        <v>123</v>
      </c>
      <c r="D53" s="21" t="s">
        <v>87</v>
      </c>
      <c r="E53" s="21" t="s">
        <v>251</v>
      </c>
      <c r="F53" s="21">
        <v>634</v>
      </c>
      <c r="G53" s="22">
        <v>46261</v>
      </c>
      <c r="H53" s="22">
        <v>46274</v>
      </c>
      <c r="I53" s="23">
        <v>6221.56</v>
      </c>
      <c r="J53" s="23">
        <v>0</v>
      </c>
      <c r="K53" s="23">
        <v>0</v>
      </c>
      <c r="L53" s="23">
        <v>0</v>
      </c>
      <c r="M53" s="23">
        <v>6221.56</v>
      </c>
      <c r="N53" s="24">
        <f t="shared" si="4"/>
        <v>6221.56</v>
      </c>
      <c r="O53" s="21" t="str">
        <f t="shared" si="5"/>
        <v>OK</v>
      </c>
    </row>
    <row r="54" spans="1:15" x14ac:dyDescent="0.3">
      <c r="A54" s="21" t="str">
        <f t="shared" si="3"/>
        <v>T|273</v>
      </c>
      <c r="B54" s="21" t="s">
        <v>378</v>
      </c>
      <c r="C54" s="21" t="s">
        <v>123</v>
      </c>
      <c r="D54" s="21" t="s">
        <v>87</v>
      </c>
      <c r="E54" s="21" t="s">
        <v>157</v>
      </c>
      <c r="F54" s="21">
        <v>727</v>
      </c>
      <c r="G54" s="22">
        <v>46261</v>
      </c>
      <c r="H54" s="22">
        <v>46274</v>
      </c>
      <c r="I54" s="23">
        <v>1166.6300000000001</v>
      </c>
      <c r="J54" s="23">
        <v>0</v>
      </c>
      <c r="K54" s="23">
        <v>0</v>
      </c>
      <c r="L54" s="23">
        <v>0</v>
      </c>
      <c r="M54" s="23">
        <v>1166.6300000000001</v>
      </c>
      <c r="N54" s="24">
        <f t="shared" si="4"/>
        <v>1166.6300000000001</v>
      </c>
      <c r="O54" s="21" t="str">
        <f t="shared" si="5"/>
        <v>OK</v>
      </c>
    </row>
    <row r="55" spans="1:15" x14ac:dyDescent="0.3">
      <c r="A55" s="4" t="str">
        <f t="shared" si="3"/>
        <v>F|51016</v>
      </c>
      <c r="B55" s="4" t="s">
        <v>320</v>
      </c>
      <c r="C55" s="4" t="s">
        <v>379</v>
      </c>
      <c r="D55" s="4" t="s">
        <v>322</v>
      </c>
      <c r="E55" s="4" t="s">
        <v>380</v>
      </c>
      <c r="F55" s="4">
        <v>764</v>
      </c>
      <c r="G55" s="15">
        <v>46251</v>
      </c>
      <c r="H55" s="15">
        <v>46281</v>
      </c>
      <c r="I55" s="11">
        <v>30300</v>
      </c>
      <c r="J55" s="11">
        <v>0</v>
      </c>
      <c r="K55" s="11">
        <v>0</v>
      </c>
      <c r="L55" s="11">
        <v>0</v>
      </c>
      <c r="M55" s="11">
        <v>30300</v>
      </c>
      <c r="N55" s="5">
        <f t="shared" si="4"/>
        <v>30300</v>
      </c>
      <c r="O55" s="4" t="str">
        <f t="shared" si="5"/>
        <v>OK</v>
      </c>
    </row>
    <row r="56" spans="1:15" x14ac:dyDescent="0.3">
      <c r="A56" s="4" t="str">
        <f t="shared" si="3"/>
        <v>F|51185</v>
      </c>
      <c r="B56" s="4" t="s">
        <v>320</v>
      </c>
      <c r="C56" s="4" t="s">
        <v>379</v>
      </c>
      <c r="D56" s="4" t="s">
        <v>322</v>
      </c>
      <c r="E56" s="4" t="s">
        <v>381</v>
      </c>
      <c r="F56" s="4">
        <v>738</v>
      </c>
      <c r="G56" s="15">
        <v>46253</v>
      </c>
      <c r="H56" s="15">
        <v>46281</v>
      </c>
      <c r="I56" s="11">
        <v>24480</v>
      </c>
      <c r="J56" s="11">
        <v>0</v>
      </c>
      <c r="K56" s="11">
        <v>0</v>
      </c>
      <c r="L56" s="11">
        <v>0</v>
      </c>
      <c r="M56" s="11">
        <v>24480</v>
      </c>
      <c r="N56" s="5">
        <f t="shared" si="4"/>
        <v>24480</v>
      </c>
      <c r="O56" s="4" t="str">
        <f t="shared" si="5"/>
        <v>OK</v>
      </c>
    </row>
    <row r="57" spans="1:15" x14ac:dyDescent="0.3">
      <c r="A57" s="4" t="str">
        <f t="shared" si="3"/>
        <v>F|51243</v>
      </c>
      <c r="B57" s="4" t="s">
        <v>320</v>
      </c>
      <c r="C57" s="4" t="s">
        <v>379</v>
      </c>
      <c r="D57" s="4" t="s">
        <v>322</v>
      </c>
      <c r="E57" s="4" t="s">
        <v>382</v>
      </c>
      <c r="F57" s="4">
        <v>720</v>
      </c>
      <c r="G57" s="15">
        <v>46255</v>
      </c>
      <c r="H57" s="15">
        <v>46281</v>
      </c>
      <c r="I57" s="11">
        <v>31050</v>
      </c>
      <c r="J57" s="11">
        <v>0</v>
      </c>
      <c r="K57" s="11">
        <v>0</v>
      </c>
      <c r="L57" s="11">
        <v>0</v>
      </c>
      <c r="M57" s="11">
        <v>31050</v>
      </c>
      <c r="N57" s="5">
        <f t="shared" si="4"/>
        <v>31050</v>
      </c>
      <c r="O57" s="4" t="str">
        <f t="shared" si="5"/>
        <v>OK</v>
      </c>
    </row>
    <row r="58" spans="1:15" x14ac:dyDescent="0.3">
      <c r="A58" s="4" t="str">
        <f t="shared" si="3"/>
        <v>F|51328</v>
      </c>
      <c r="B58" s="4" t="s">
        <v>320</v>
      </c>
      <c r="C58" s="4" t="s">
        <v>379</v>
      </c>
      <c r="D58" s="4" t="s">
        <v>322</v>
      </c>
      <c r="E58" s="4" t="s">
        <v>383</v>
      </c>
      <c r="F58" s="4">
        <v>722</v>
      </c>
      <c r="G58" s="15">
        <v>46255</v>
      </c>
      <c r="H58" s="15">
        <v>46281</v>
      </c>
      <c r="I58" s="11">
        <v>12320</v>
      </c>
      <c r="J58" s="11">
        <v>0</v>
      </c>
      <c r="K58" s="11">
        <v>0</v>
      </c>
      <c r="L58" s="11">
        <v>0</v>
      </c>
      <c r="M58" s="11">
        <v>12320</v>
      </c>
      <c r="N58" s="5">
        <f t="shared" si="4"/>
        <v>12320</v>
      </c>
      <c r="O58" s="4" t="str">
        <f t="shared" si="5"/>
        <v>OK</v>
      </c>
    </row>
    <row r="59" spans="1:15" x14ac:dyDescent="0.3">
      <c r="A59" s="4" t="str">
        <f t="shared" si="3"/>
        <v>F|51421</v>
      </c>
      <c r="B59" s="4" t="s">
        <v>320</v>
      </c>
      <c r="C59" s="4" t="s">
        <v>379</v>
      </c>
      <c r="D59" s="4" t="s">
        <v>322</v>
      </c>
      <c r="E59" s="4" t="s">
        <v>384</v>
      </c>
      <c r="F59" s="4">
        <v>721</v>
      </c>
      <c r="G59" s="15">
        <v>46258</v>
      </c>
      <c r="H59" s="15">
        <v>46281</v>
      </c>
      <c r="I59" s="11">
        <v>18540</v>
      </c>
      <c r="J59" s="11">
        <v>0</v>
      </c>
      <c r="K59" s="11">
        <v>0</v>
      </c>
      <c r="L59" s="11">
        <v>0</v>
      </c>
      <c r="M59" s="11">
        <v>18540</v>
      </c>
      <c r="N59" s="5">
        <f t="shared" si="4"/>
        <v>18540</v>
      </c>
      <c r="O59" s="4" t="str">
        <f t="shared" si="5"/>
        <v>OK</v>
      </c>
    </row>
    <row r="60" spans="1:15" x14ac:dyDescent="0.3">
      <c r="A60" s="4" t="str">
        <f t="shared" si="3"/>
        <v>F|51534</v>
      </c>
      <c r="B60" s="4" t="s">
        <v>320</v>
      </c>
      <c r="C60" s="4" t="s">
        <v>379</v>
      </c>
      <c r="D60" s="4" t="s">
        <v>322</v>
      </c>
      <c r="E60" s="4" t="s">
        <v>385</v>
      </c>
      <c r="F60" s="4">
        <v>737</v>
      </c>
      <c r="G60" s="15">
        <v>46260</v>
      </c>
      <c r="H60" s="15">
        <v>46288</v>
      </c>
      <c r="I60" s="11">
        <v>31600</v>
      </c>
      <c r="J60" s="11">
        <v>0</v>
      </c>
      <c r="K60" s="11">
        <v>0</v>
      </c>
      <c r="L60" s="11">
        <v>0</v>
      </c>
      <c r="M60" s="11">
        <v>31600</v>
      </c>
      <c r="N60" s="5">
        <f t="shared" si="4"/>
        <v>31600</v>
      </c>
      <c r="O60" s="4" t="str">
        <f t="shared" si="5"/>
        <v>OK</v>
      </c>
    </row>
    <row r="61" spans="1:15" x14ac:dyDescent="0.3">
      <c r="A61" s="4" t="str">
        <f t="shared" si="3"/>
        <v>F|1</v>
      </c>
      <c r="B61" s="4" t="s">
        <v>320</v>
      </c>
      <c r="C61" s="4" t="s">
        <v>386</v>
      </c>
      <c r="D61" s="4" t="s">
        <v>322</v>
      </c>
      <c r="E61" s="4" t="s">
        <v>387</v>
      </c>
      <c r="F61" s="4">
        <v>918</v>
      </c>
      <c r="G61" s="15">
        <v>46282</v>
      </c>
      <c r="H61" s="15">
        <v>46295</v>
      </c>
      <c r="I61" s="11">
        <v>4920</v>
      </c>
      <c r="J61" s="11">
        <v>0</v>
      </c>
      <c r="K61" s="11">
        <v>0</v>
      </c>
      <c r="L61" s="11">
        <v>0</v>
      </c>
      <c r="M61" s="11">
        <v>4920</v>
      </c>
      <c r="N61" s="5">
        <f t="shared" si="4"/>
        <v>4920</v>
      </c>
      <c r="O61" s="4" t="str">
        <f t="shared" si="5"/>
        <v>OK</v>
      </c>
    </row>
    <row r="62" spans="1:15" x14ac:dyDescent="0.3">
      <c r="A62" s="4" t="str">
        <f t="shared" si="3"/>
        <v>F|23</v>
      </c>
      <c r="B62" s="4" t="s">
        <v>320</v>
      </c>
      <c r="C62" s="4" t="s">
        <v>388</v>
      </c>
      <c r="D62" s="4" t="s">
        <v>322</v>
      </c>
      <c r="E62" s="4" t="s">
        <v>389</v>
      </c>
      <c r="F62" s="4">
        <v>917</v>
      </c>
      <c r="G62" s="15">
        <v>46282</v>
      </c>
      <c r="H62" s="15">
        <v>46295</v>
      </c>
      <c r="I62" s="11">
        <v>3000</v>
      </c>
      <c r="J62" s="11">
        <v>0</v>
      </c>
      <c r="K62" s="11">
        <v>0</v>
      </c>
      <c r="L62" s="11">
        <v>0</v>
      </c>
      <c r="M62" s="11">
        <v>3000</v>
      </c>
      <c r="N62" s="5">
        <f t="shared" si="4"/>
        <v>3000</v>
      </c>
      <c r="O62" s="4" t="str">
        <f t="shared" si="5"/>
        <v>OK</v>
      </c>
    </row>
    <row r="63" spans="1:15" x14ac:dyDescent="0.3">
      <c r="A63" s="4" t="str">
        <f t="shared" si="3"/>
        <v>F|70108</v>
      </c>
      <c r="B63" s="4" t="s">
        <v>320</v>
      </c>
      <c r="C63" s="4" t="s">
        <v>390</v>
      </c>
      <c r="D63" s="4" t="s">
        <v>339</v>
      </c>
      <c r="E63" s="4" t="s">
        <v>391</v>
      </c>
      <c r="F63" s="4">
        <v>687</v>
      </c>
      <c r="G63" s="15">
        <v>46267</v>
      </c>
      <c r="H63" s="15">
        <v>46267</v>
      </c>
      <c r="I63" s="11">
        <v>4969.18</v>
      </c>
      <c r="J63" s="11">
        <v>0</v>
      </c>
      <c r="K63" s="11">
        <v>0</v>
      </c>
      <c r="L63" s="11">
        <v>0</v>
      </c>
      <c r="M63" s="11">
        <v>4969.18</v>
      </c>
      <c r="N63" s="5">
        <f t="shared" si="4"/>
        <v>4969.18</v>
      </c>
      <c r="O63" s="4" t="str">
        <f t="shared" si="5"/>
        <v>OK</v>
      </c>
    </row>
    <row r="64" spans="1:15" x14ac:dyDescent="0.3">
      <c r="A64" s="21" t="str">
        <f t="shared" si="3"/>
        <v>T|170</v>
      </c>
      <c r="B64" s="21" t="s">
        <v>378</v>
      </c>
      <c r="C64" s="21" t="s">
        <v>392</v>
      </c>
      <c r="D64" s="21" t="s">
        <v>111</v>
      </c>
      <c r="E64" s="21" t="s">
        <v>106</v>
      </c>
      <c r="F64" s="21">
        <v>622</v>
      </c>
      <c r="G64" s="22">
        <v>46237</v>
      </c>
      <c r="H64" s="22">
        <v>46283</v>
      </c>
      <c r="I64" s="23">
        <v>300</v>
      </c>
      <c r="J64" s="23">
        <v>0</v>
      </c>
      <c r="K64" s="23">
        <v>0</v>
      </c>
      <c r="L64" s="23">
        <v>0</v>
      </c>
      <c r="M64" s="23">
        <v>300</v>
      </c>
      <c r="N64" s="24">
        <f t="shared" si="4"/>
        <v>300</v>
      </c>
      <c r="O64" s="21" t="str">
        <f t="shared" si="5"/>
        <v>OK</v>
      </c>
    </row>
    <row r="65" spans="1:15" x14ac:dyDescent="0.3">
      <c r="A65" s="21" t="str">
        <f t="shared" si="3"/>
        <v>T|23391</v>
      </c>
      <c r="B65" s="21" t="s">
        <v>378</v>
      </c>
      <c r="C65" s="21" t="s">
        <v>392</v>
      </c>
      <c r="D65" s="21" t="s">
        <v>111</v>
      </c>
      <c r="E65" s="21" t="s">
        <v>170</v>
      </c>
      <c r="F65" s="21">
        <v>575</v>
      </c>
      <c r="G65" s="22">
        <v>46241</v>
      </c>
      <c r="H65" s="22">
        <v>46283</v>
      </c>
      <c r="I65" s="23">
        <v>32.33</v>
      </c>
      <c r="J65" s="23">
        <v>0</v>
      </c>
      <c r="K65" s="23">
        <v>0</v>
      </c>
      <c r="L65" s="23">
        <v>0</v>
      </c>
      <c r="M65" s="23">
        <v>32.33</v>
      </c>
      <c r="N65" s="24">
        <f t="shared" si="4"/>
        <v>32.33</v>
      </c>
      <c r="O65" s="21" t="str">
        <f t="shared" si="5"/>
        <v>OK</v>
      </c>
    </row>
    <row r="66" spans="1:15" x14ac:dyDescent="0.3">
      <c r="A66" s="21" t="str">
        <f t="shared" si="3"/>
        <v>T|179</v>
      </c>
      <c r="B66" s="21" t="s">
        <v>378</v>
      </c>
      <c r="C66" s="21" t="s">
        <v>392</v>
      </c>
      <c r="D66" s="21" t="s">
        <v>111</v>
      </c>
      <c r="E66" s="21" t="s">
        <v>298</v>
      </c>
      <c r="F66" s="21">
        <v>537</v>
      </c>
      <c r="G66" s="22">
        <v>46245</v>
      </c>
      <c r="H66" s="22">
        <v>46283</v>
      </c>
      <c r="I66" s="23">
        <v>513.69000000000005</v>
      </c>
      <c r="J66" s="23">
        <v>0</v>
      </c>
      <c r="K66" s="23">
        <v>0</v>
      </c>
      <c r="L66" s="23">
        <v>0</v>
      </c>
      <c r="M66" s="23">
        <v>513.69000000000005</v>
      </c>
      <c r="N66" s="24">
        <f t="shared" si="4"/>
        <v>513.69000000000005</v>
      </c>
      <c r="O66" s="21" t="str">
        <f t="shared" si="5"/>
        <v>OK</v>
      </c>
    </row>
    <row r="67" spans="1:15" x14ac:dyDescent="0.3">
      <c r="A67" s="21" t="str">
        <f t="shared" si="3"/>
        <v>T|22853</v>
      </c>
      <c r="B67" s="21" t="s">
        <v>378</v>
      </c>
      <c r="C67" s="21" t="s">
        <v>392</v>
      </c>
      <c r="D67" s="21" t="s">
        <v>111</v>
      </c>
      <c r="E67" s="21" t="s">
        <v>202</v>
      </c>
      <c r="F67" s="21">
        <v>563</v>
      </c>
      <c r="G67" s="22">
        <v>46245</v>
      </c>
      <c r="H67" s="22">
        <v>46283</v>
      </c>
      <c r="I67" s="23">
        <v>43.5</v>
      </c>
      <c r="J67" s="23">
        <v>0</v>
      </c>
      <c r="K67" s="23">
        <v>0</v>
      </c>
      <c r="L67" s="23">
        <v>0</v>
      </c>
      <c r="M67" s="23">
        <v>43.5</v>
      </c>
      <c r="N67" s="24">
        <f t="shared" si="4"/>
        <v>43.5</v>
      </c>
      <c r="O67" s="21" t="str">
        <f t="shared" si="5"/>
        <v>OK</v>
      </c>
    </row>
    <row r="68" spans="1:15" x14ac:dyDescent="0.3">
      <c r="A68" s="21" t="str">
        <f t="shared" si="3"/>
        <v>T|7662</v>
      </c>
      <c r="B68" s="21" t="s">
        <v>378</v>
      </c>
      <c r="C68" s="21" t="s">
        <v>392</v>
      </c>
      <c r="D68" s="21" t="s">
        <v>111</v>
      </c>
      <c r="E68" s="21" t="s">
        <v>145</v>
      </c>
      <c r="F68" s="21">
        <v>602</v>
      </c>
      <c r="G68" s="22">
        <v>46253</v>
      </c>
      <c r="H68" s="22">
        <v>46283</v>
      </c>
      <c r="I68" s="23">
        <v>10.8</v>
      </c>
      <c r="J68" s="23">
        <v>0</v>
      </c>
      <c r="K68" s="23">
        <v>0</v>
      </c>
      <c r="L68" s="23">
        <v>0</v>
      </c>
      <c r="M68" s="23">
        <v>10.8</v>
      </c>
      <c r="N68" s="24">
        <f t="shared" si="4"/>
        <v>10.8</v>
      </c>
      <c r="O68" s="21" t="str">
        <f t="shared" si="5"/>
        <v>OK</v>
      </c>
    </row>
    <row r="69" spans="1:15" x14ac:dyDescent="0.3">
      <c r="A69" s="21" t="str">
        <f t="shared" ref="A69:A100" si="6">LEFT(B69,1)&amp;"|"&amp;E69</f>
        <v>T|500</v>
      </c>
      <c r="B69" s="21" t="s">
        <v>378</v>
      </c>
      <c r="C69" s="21" t="s">
        <v>393</v>
      </c>
      <c r="D69" s="21" t="s">
        <v>224</v>
      </c>
      <c r="E69" s="21" t="s">
        <v>220</v>
      </c>
      <c r="F69" s="21">
        <v>569</v>
      </c>
      <c r="G69" s="22">
        <v>46244</v>
      </c>
      <c r="H69" s="22">
        <v>46283</v>
      </c>
      <c r="I69" s="23">
        <v>329</v>
      </c>
      <c r="J69" s="23">
        <v>0</v>
      </c>
      <c r="K69" s="23">
        <v>0</v>
      </c>
      <c r="L69" s="23">
        <v>0</v>
      </c>
      <c r="M69" s="23">
        <v>329</v>
      </c>
      <c r="N69" s="24">
        <f t="shared" ref="N69:N100" si="7">I69-J69-K69+L69</f>
        <v>329</v>
      </c>
      <c r="O69" s="21" t="str">
        <f t="shared" ref="O69:O100" si="8">IF(ABS(N69-M69)&lt;0.005,"OK","VERIFICAR")</f>
        <v>OK</v>
      </c>
    </row>
    <row r="70" spans="1:15" x14ac:dyDescent="0.3">
      <c r="A70" s="21" t="str">
        <f t="shared" si="6"/>
        <v>T|5238</v>
      </c>
      <c r="B70" s="21" t="s">
        <v>378</v>
      </c>
      <c r="C70" s="21" t="s">
        <v>393</v>
      </c>
      <c r="D70" s="21" t="s">
        <v>224</v>
      </c>
      <c r="E70" s="21" t="s">
        <v>82</v>
      </c>
      <c r="F70" s="21">
        <v>587</v>
      </c>
      <c r="G70" s="22">
        <v>46244</v>
      </c>
      <c r="H70" s="22">
        <v>46283</v>
      </c>
      <c r="I70" s="23">
        <v>350</v>
      </c>
      <c r="J70" s="23">
        <v>0</v>
      </c>
      <c r="K70" s="23">
        <v>0</v>
      </c>
      <c r="L70" s="23">
        <v>0</v>
      </c>
      <c r="M70" s="23">
        <v>350</v>
      </c>
      <c r="N70" s="24">
        <f t="shared" si="7"/>
        <v>350</v>
      </c>
      <c r="O70" s="21" t="str">
        <f t="shared" si="8"/>
        <v>OK</v>
      </c>
    </row>
    <row r="71" spans="1:15" x14ac:dyDescent="0.3">
      <c r="A71" s="21" t="str">
        <f t="shared" si="6"/>
        <v>T|5273</v>
      </c>
      <c r="B71" s="21" t="s">
        <v>378</v>
      </c>
      <c r="C71" s="21" t="s">
        <v>393</v>
      </c>
      <c r="D71" s="21" t="s">
        <v>224</v>
      </c>
      <c r="E71" s="21" t="s">
        <v>257</v>
      </c>
      <c r="F71" s="21">
        <v>593</v>
      </c>
      <c r="G71" s="22">
        <v>46253</v>
      </c>
      <c r="H71" s="22">
        <v>46283</v>
      </c>
      <c r="I71" s="23">
        <v>93.57</v>
      </c>
      <c r="J71" s="23">
        <v>0</v>
      </c>
      <c r="K71" s="23">
        <v>0</v>
      </c>
      <c r="L71" s="23">
        <v>0</v>
      </c>
      <c r="M71" s="23">
        <v>93.57</v>
      </c>
      <c r="N71" s="24">
        <f t="shared" si="7"/>
        <v>93.57</v>
      </c>
      <c r="O71" s="21" t="str">
        <f t="shared" si="8"/>
        <v>OK</v>
      </c>
    </row>
    <row r="72" spans="1:15" x14ac:dyDescent="0.3">
      <c r="A72" s="21" t="str">
        <f t="shared" si="6"/>
        <v>T|5826</v>
      </c>
      <c r="B72" s="21" t="s">
        <v>378</v>
      </c>
      <c r="C72" s="21" t="s">
        <v>393</v>
      </c>
      <c r="D72" s="21" t="s">
        <v>224</v>
      </c>
      <c r="E72" s="21" t="s">
        <v>251</v>
      </c>
      <c r="F72" s="21">
        <v>634</v>
      </c>
      <c r="G72" s="22">
        <v>46261</v>
      </c>
      <c r="H72" s="22">
        <v>46283</v>
      </c>
      <c r="I72" s="23">
        <v>4355.09</v>
      </c>
      <c r="J72" s="23">
        <v>0</v>
      </c>
      <c r="K72" s="23">
        <v>0</v>
      </c>
      <c r="L72" s="23">
        <v>0</v>
      </c>
      <c r="M72" s="23">
        <v>4355.09</v>
      </c>
      <c r="N72" s="24">
        <f t="shared" si="7"/>
        <v>4355.09</v>
      </c>
      <c r="O72" s="21" t="str">
        <f t="shared" si="8"/>
        <v>OK</v>
      </c>
    </row>
    <row r="73" spans="1:15" x14ac:dyDescent="0.3">
      <c r="A73" s="4" t="str">
        <f t="shared" si="6"/>
        <v>F|81195</v>
      </c>
      <c r="B73" s="4" t="s">
        <v>320</v>
      </c>
      <c r="C73" s="4" t="s">
        <v>394</v>
      </c>
      <c r="D73" s="4" t="s">
        <v>322</v>
      </c>
      <c r="E73" s="4" t="s">
        <v>395</v>
      </c>
      <c r="F73" s="4">
        <v>624</v>
      </c>
      <c r="G73" s="15">
        <v>46227</v>
      </c>
      <c r="H73" s="15">
        <v>46267</v>
      </c>
      <c r="I73" s="11">
        <v>1356</v>
      </c>
      <c r="J73" s="11">
        <v>0</v>
      </c>
      <c r="K73" s="11">
        <v>0</v>
      </c>
      <c r="L73" s="11">
        <v>0</v>
      </c>
      <c r="M73" s="11">
        <v>1356</v>
      </c>
      <c r="N73" s="5">
        <f t="shared" si="7"/>
        <v>1356</v>
      </c>
      <c r="O73" s="4" t="str">
        <f t="shared" si="8"/>
        <v>OK</v>
      </c>
    </row>
    <row r="74" spans="1:15" x14ac:dyDescent="0.3">
      <c r="A74" s="4" t="str">
        <f t="shared" si="6"/>
        <v>F|81492</v>
      </c>
      <c r="B74" s="4" t="s">
        <v>320</v>
      </c>
      <c r="C74" s="4" t="s">
        <v>394</v>
      </c>
      <c r="D74" s="4" t="s">
        <v>322</v>
      </c>
      <c r="E74" s="4" t="s">
        <v>396</v>
      </c>
      <c r="F74" s="4">
        <v>579</v>
      </c>
      <c r="G74" s="15">
        <v>46244</v>
      </c>
      <c r="H74" s="15">
        <v>46267</v>
      </c>
      <c r="I74" s="11">
        <v>650</v>
      </c>
      <c r="J74" s="11">
        <v>0</v>
      </c>
      <c r="K74" s="11">
        <v>0</v>
      </c>
      <c r="L74" s="11">
        <v>0</v>
      </c>
      <c r="M74" s="11">
        <v>650</v>
      </c>
      <c r="N74" s="5">
        <f t="shared" si="7"/>
        <v>650</v>
      </c>
      <c r="O74" s="4" t="str">
        <f t="shared" si="8"/>
        <v>OK</v>
      </c>
    </row>
    <row r="75" spans="1:15" x14ac:dyDescent="0.3">
      <c r="A75" s="4" t="str">
        <f t="shared" si="6"/>
        <v>F|81763</v>
      </c>
      <c r="B75" s="4" t="s">
        <v>320</v>
      </c>
      <c r="C75" s="4" t="s">
        <v>394</v>
      </c>
      <c r="D75" s="4" t="s">
        <v>322</v>
      </c>
      <c r="E75" s="4" t="s">
        <v>397</v>
      </c>
      <c r="F75" s="4">
        <v>655</v>
      </c>
      <c r="G75" s="15">
        <v>46258</v>
      </c>
      <c r="H75" s="15">
        <v>46281</v>
      </c>
      <c r="I75" s="11">
        <v>1196</v>
      </c>
      <c r="J75" s="11">
        <v>0</v>
      </c>
      <c r="K75" s="11">
        <v>0</v>
      </c>
      <c r="L75" s="11">
        <v>0</v>
      </c>
      <c r="M75" s="11">
        <v>1196</v>
      </c>
      <c r="N75" s="5">
        <f t="shared" si="7"/>
        <v>1196</v>
      </c>
      <c r="O75" s="4" t="str">
        <f t="shared" si="8"/>
        <v>OK</v>
      </c>
    </row>
    <row r="76" spans="1:15" x14ac:dyDescent="0.3">
      <c r="A76" s="4" t="str">
        <f t="shared" si="6"/>
        <v>F|81816</v>
      </c>
      <c r="B76" s="4" t="s">
        <v>320</v>
      </c>
      <c r="C76" s="4" t="s">
        <v>394</v>
      </c>
      <c r="D76" s="4" t="s">
        <v>322</v>
      </c>
      <c r="E76" s="4" t="s">
        <v>398</v>
      </c>
      <c r="F76" s="4">
        <v>901</v>
      </c>
      <c r="G76" s="15">
        <v>46260</v>
      </c>
      <c r="H76" s="15">
        <v>46295</v>
      </c>
      <c r="I76" s="11">
        <v>560</v>
      </c>
      <c r="J76" s="11">
        <v>0</v>
      </c>
      <c r="K76" s="11">
        <v>0</v>
      </c>
      <c r="L76" s="11">
        <v>0</v>
      </c>
      <c r="M76" s="11">
        <v>560</v>
      </c>
      <c r="N76" s="5">
        <f t="shared" si="7"/>
        <v>560</v>
      </c>
      <c r="O76" s="4" t="str">
        <f t="shared" si="8"/>
        <v>OK</v>
      </c>
    </row>
    <row r="77" spans="1:15" x14ac:dyDescent="0.3">
      <c r="A77" s="4" t="str">
        <f t="shared" si="6"/>
        <v>F|52071</v>
      </c>
      <c r="B77" s="4" t="s">
        <v>320</v>
      </c>
      <c r="C77" s="4" t="s">
        <v>399</v>
      </c>
      <c r="D77" s="4" t="s">
        <v>322</v>
      </c>
      <c r="E77" s="4" t="s">
        <v>400</v>
      </c>
      <c r="F77" s="4">
        <v>577</v>
      </c>
      <c r="G77" s="15">
        <v>46247</v>
      </c>
      <c r="H77" s="15">
        <v>46274</v>
      </c>
      <c r="I77" s="11">
        <v>490</v>
      </c>
      <c r="J77" s="11">
        <v>0</v>
      </c>
      <c r="K77" s="11">
        <v>0</v>
      </c>
      <c r="L77" s="11">
        <v>0</v>
      </c>
      <c r="M77" s="11">
        <v>490</v>
      </c>
      <c r="N77" s="5">
        <f t="shared" si="7"/>
        <v>490</v>
      </c>
      <c r="O77" s="4" t="str">
        <f t="shared" si="8"/>
        <v>OK</v>
      </c>
    </row>
    <row r="78" spans="1:15" x14ac:dyDescent="0.3">
      <c r="A78" s="4" t="str">
        <f t="shared" si="6"/>
        <v>F|508</v>
      </c>
      <c r="B78" s="4" t="s">
        <v>320</v>
      </c>
      <c r="C78" s="4" t="s">
        <v>401</v>
      </c>
      <c r="D78" s="4" t="s">
        <v>325</v>
      </c>
      <c r="E78" s="4" t="s">
        <v>402</v>
      </c>
      <c r="F78" s="4">
        <v>725</v>
      </c>
      <c r="G78" s="15">
        <v>46269</v>
      </c>
      <c r="H78" s="15">
        <v>46281</v>
      </c>
      <c r="I78" s="11">
        <v>9400</v>
      </c>
      <c r="J78" s="11">
        <v>1269</v>
      </c>
      <c r="K78" s="11">
        <v>0</v>
      </c>
      <c r="L78" s="11">
        <v>0</v>
      </c>
      <c r="M78" s="11">
        <v>8131</v>
      </c>
      <c r="N78" s="5">
        <f t="shared" si="7"/>
        <v>8131</v>
      </c>
      <c r="O78" s="4" t="str">
        <f t="shared" si="8"/>
        <v>OK</v>
      </c>
    </row>
    <row r="79" spans="1:15" x14ac:dyDescent="0.3">
      <c r="A79" s="4" t="str">
        <f t="shared" si="6"/>
        <v>F|539</v>
      </c>
      <c r="B79" s="4" t="s">
        <v>320</v>
      </c>
      <c r="C79" s="4" t="s">
        <v>403</v>
      </c>
      <c r="D79" s="4" t="s">
        <v>325</v>
      </c>
      <c r="E79" s="4" t="s">
        <v>404</v>
      </c>
      <c r="F79" s="4">
        <v>760</v>
      </c>
      <c r="G79" s="15">
        <v>46267</v>
      </c>
      <c r="H79" s="15">
        <v>46281</v>
      </c>
      <c r="I79" s="11">
        <v>67600</v>
      </c>
      <c r="J79" s="11">
        <v>0</v>
      </c>
      <c r="K79" s="11">
        <v>0</v>
      </c>
      <c r="L79" s="11">
        <v>0</v>
      </c>
      <c r="M79" s="11">
        <v>67600</v>
      </c>
      <c r="N79" s="5">
        <f t="shared" si="7"/>
        <v>67600</v>
      </c>
      <c r="O79" s="4" t="str">
        <f t="shared" si="8"/>
        <v>OK</v>
      </c>
    </row>
    <row r="80" spans="1:15" x14ac:dyDescent="0.3">
      <c r="A80" s="4" t="str">
        <f t="shared" si="6"/>
        <v>F|543</v>
      </c>
      <c r="B80" s="4" t="s">
        <v>320</v>
      </c>
      <c r="C80" s="4" t="s">
        <v>403</v>
      </c>
      <c r="D80" s="4" t="s">
        <v>405</v>
      </c>
      <c r="E80" s="4" t="s">
        <v>406</v>
      </c>
      <c r="F80" s="4">
        <v>882</v>
      </c>
      <c r="G80" s="15">
        <v>46279</v>
      </c>
      <c r="H80" s="15">
        <v>46295</v>
      </c>
      <c r="I80" s="11">
        <v>57860.4</v>
      </c>
      <c r="J80" s="11">
        <v>0</v>
      </c>
      <c r="K80" s="11">
        <v>0</v>
      </c>
      <c r="L80" s="11">
        <v>0</v>
      </c>
      <c r="M80" s="11">
        <v>57860.4</v>
      </c>
      <c r="N80" s="5">
        <f t="shared" si="7"/>
        <v>57860.4</v>
      </c>
      <c r="O80" s="4" t="str">
        <f t="shared" si="8"/>
        <v>OK</v>
      </c>
    </row>
    <row r="81" spans="1:15" x14ac:dyDescent="0.3">
      <c r="A81" s="4" t="str">
        <f t="shared" si="6"/>
        <v>F|383403</v>
      </c>
      <c r="B81" s="4" t="s">
        <v>320</v>
      </c>
      <c r="C81" s="4" t="s">
        <v>407</v>
      </c>
      <c r="D81" s="4" t="s">
        <v>322</v>
      </c>
      <c r="E81" s="4" t="s">
        <v>408</v>
      </c>
      <c r="F81" s="4">
        <v>761</v>
      </c>
      <c r="G81" s="15">
        <v>46248</v>
      </c>
      <c r="H81" s="15">
        <v>46281</v>
      </c>
      <c r="I81" s="11">
        <v>24320</v>
      </c>
      <c r="J81" s="11">
        <v>0</v>
      </c>
      <c r="K81" s="11">
        <v>0</v>
      </c>
      <c r="L81" s="11">
        <v>0</v>
      </c>
      <c r="M81" s="11">
        <v>24320</v>
      </c>
      <c r="N81" s="5">
        <f t="shared" si="7"/>
        <v>24320</v>
      </c>
      <c r="O81" s="4" t="str">
        <f t="shared" si="8"/>
        <v>OK</v>
      </c>
    </row>
    <row r="82" spans="1:15" x14ac:dyDescent="0.3">
      <c r="A82" s="4" t="str">
        <f t="shared" si="6"/>
        <v>F|383526</v>
      </c>
      <c r="B82" s="4" t="s">
        <v>320</v>
      </c>
      <c r="C82" s="4" t="s">
        <v>407</v>
      </c>
      <c r="D82" s="4" t="s">
        <v>322</v>
      </c>
      <c r="E82" s="4" t="s">
        <v>409</v>
      </c>
      <c r="F82" s="4">
        <v>745</v>
      </c>
      <c r="G82" s="15">
        <v>46251</v>
      </c>
      <c r="H82" s="15">
        <v>46281</v>
      </c>
      <c r="I82" s="11">
        <v>18240</v>
      </c>
      <c r="J82" s="11">
        <v>0</v>
      </c>
      <c r="K82" s="11">
        <v>0</v>
      </c>
      <c r="L82" s="11">
        <v>0</v>
      </c>
      <c r="M82" s="11">
        <v>18240</v>
      </c>
      <c r="N82" s="5">
        <f t="shared" si="7"/>
        <v>18240</v>
      </c>
      <c r="O82" s="4" t="str">
        <f t="shared" si="8"/>
        <v>OK</v>
      </c>
    </row>
    <row r="83" spans="1:15" x14ac:dyDescent="0.3">
      <c r="A83" s="4" t="str">
        <f t="shared" si="6"/>
        <v>F|384450</v>
      </c>
      <c r="B83" s="4" t="s">
        <v>320</v>
      </c>
      <c r="C83" s="4" t="s">
        <v>407</v>
      </c>
      <c r="D83" s="4" t="s">
        <v>322</v>
      </c>
      <c r="E83" s="4" t="s">
        <v>410</v>
      </c>
      <c r="F83" s="4">
        <v>719</v>
      </c>
      <c r="G83" s="15">
        <v>46262</v>
      </c>
      <c r="H83" s="15">
        <v>46288</v>
      </c>
      <c r="I83" s="11">
        <v>32750</v>
      </c>
      <c r="J83" s="11">
        <v>0</v>
      </c>
      <c r="K83" s="11">
        <v>0</v>
      </c>
      <c r="L83" s="11">
        <v>0</v>
      </c>
      <c r="M83" s="11">
        <v>32750</v>
      </c>
      <c r="N83" s="5">
        <f t="shared" si="7"/>
        <v>32750</v>
      </c>
      <c r="O83" s="4" t="str">
        <f t="shared" si="8"/>
        <v>OK</v>
      </c>
    </row>
    <row r="84" spans="1:15" x14ac:dyDescent="0.3">
      <c r="A84" s="4" t="str">
        <f t="shared" si="6"/>
        <v>F|7662</v>
      </c>
      <c r="B84" s="4" t="s">
        <v>320</v>
      </c>
      <c r="C84" s="4" t="s">
        <v>411</v>
      </c>
      <c r="D84" s="4" t="s">
        <v>325</v>
      </c>
      <c r="E84" s="4" t="s">
        <v>145</v>
      </c>
      <c r="F84" s="4">
        <v>602</v>
      </c>
      <c r="G84" s="15">
        <v>46253</v>
      </c>
      <c r="H84" s="15">
        <v>46267</v>
      </c>
      <c r="I84" s="11">
        <v>720</v>
      </c>
      <c r="J84" s="11">
        <v>80.28</v>
      </c>
      <c r="K84" s="11">
        <v>0</v>
      </c>
      <c r="L84" s="11">
        <v>0</v>
      </c>
      <c r="M84" s="11">
        <v>639.72</v>
      </c>
      <c r="N84" s="5">
        <f t="shared" si="7"/>
        <v>639.72</v>
      </c>
      <c r="O84" s="4" t="str">
        <f t="shared" si="8"/>
        <v>OK</v>
      </c>
    </row>
    <row r="85" spans="1:15" x14ac:dyDescent="0.3">
      <c r="A85" s="21" t="str">
        <f t="shared" si="6"/>
        <v>T|5238</v>
      </c>
      <c r="B85" s="21" t="s">
        <v>378</v>
      </c>
      <c r="C85" s="21" t="s">
        <v>412</v>
      </c>
      <c r="D85" s="21" t="s">
        <v>87</v>
      </c>
      <c r="E85" s="21" t="s">
        <v>82</v>
      </c>
      <c r="F85" s="21">
        <v>587</v>
      </c>
      <c r="G85" s="22">
        <v>46244</v>
      </c>
      <c r="H85" s="22">
        <v>46274</v>
      </c>
      <c r="I85" s="23">
        <v>500</v>
      </c>
      <c r="J85" s="23">
        <v>0</v>
      </c>
      <c r="K85" s="23">
        <v>0</v>
      </c>
      <c r="L85" s="23">
        <v>0</v>
      </c>
      <c r="M85" s="23">
        <v>500</v>
      </c>
      <c r="N85" s="24">
        <f t="shared" si="7"/>
        <v>500</v>
      </c>
      <c r="O85" s="21" t="str">
        <f t="shared" si="8"/>
        <v>OK</v>
      </c>
    </row>
    <row r="86" spans="1:15" x14ac:dyDescent="0.3">
      <c r="A86" s="21" t="str">
        <f t="shared" si="6"/>
        <v>T|179</v>
      </c>
      <c r="B86" s="21" t="s">
        <v>378</v>
      </c>
      <c r="C86" s="21" t="s">
        <v>412</v>
      </c>
      <c r="D86" s="21" t="s">
        <v>87</v>
      </c>
      <c r="E86" s="21" t="s">
        <v>298</v>
      </c>
      <c r="F86" s="21">
        <v>537</v>
      </c>
      <c r="G86" s="22">
        <v>46245</v>
      </c>
      <c r="H86" s="22">
        <v>46274</v>
      </c>
      <c r="I86" s="23">
        <v>1712.31</v>
      </c>
      <c r="J86" s="23">
        <v>0</v>
      </c>
      <c r="K86" s="23">
        <v>0</v>
      </c>
      <c r="L86" s="23">
        <v>0</v>
      </c>
      <c r="M86" s="23">
        <v>1712.31</v>
      </c>
      <c r="N86" s="24">
        <f t="shared" si="7"/>
        <v>1712.31</v>
      </c>
      <c r="O86" s="21" t="str">
        <f t="shared" si="8"/>
        <v>OK</v>
      </c>
    </row>
    <row r="87" spans="1:15" x14ac:dyDescent="0.3">
      <c r="A87" s="21" t="str">
        <f t="shared" si="6"/>
        <v>T|1140</v>
      </c>
      <c r="B87" s="21" t="s">
        <v>378</v>
      </c>
      <c r="C87" s="21" t="s">
        <v>412</v>
      </c>
      <c r="D87" s="21" t="s">
        <v>87</v>
      </c>
      <c r="E87" s="21" t="s">
        <v>96</v>
      </c>
      <c r="F87" s="21">
        <v>651</v>
      </c>
      <c r="G87" s="22">
        <v>46252</v>
      </c>
      <c r="H87" s="22">
        <v>46274</v>
      </c>
      <c r="I87" s="23">
        <v>11811.83</v>
      </c>
      <c r="J87" s="23">
        <v>0</v>
      </c>
      <c r="K87" s="23">
        <v>0</v>
      </c>
      <c r="L87" s="23">
        <v>0</v>
      </c>
      <c r="M87" s="23">
        <v>11811.83</v>
      </c>
      <c r="N87" s="24">
        <f t="shared" si="7"/>
        <v>11811.83</v>
      </c>
      <c r="O87" s="21" t="str">
        <f t="shared" si="8"/>
        <v>OK</v>
      </c>
    </row>
    <row r="88" spans="1:15" x14ac:dyDescent="0.3">
      <c r="A88" s="21" t="str">
        <f t="shared" si="6"/>
        <v>T|37535</v>
      </c>
      <c r="B88" s="21" t="s">
        <v>378</v>
      </c>
      <c r="C88" s="21" t="s">
        <v>412</v>
      </c>
      <c r="D88" s="21" t="s">
        <v>87</v>
      </c>
      <c r="E88" s="21" t="s">
        <v>265</v>
      </c>
      <c r="F88" s="21">
        <v>665</v>
      </c>
      <c r="G88" s="22">
        <v>46253</v>
      </c>
      <c r="H88" s="22">
        <v>46274</v>
      </c>
      <c r="I88" s="23">
        <v>112.5</v>
      </c>
      <c r="J88" s="23">
        <v>0</v>
      </c>
      <c r="K88" s="23">
        <v>0</v>
      </c>
      <c r="L88" s="23">
        <v>0</v>
      </c>
      <c r="M88" s="23">
        <v>112.5</v>
      </c>
      <c r="N88" s="24">
        <f t="shared" si="7"/>
        <v>112.5</v>
      </c>
      <c r="O88" s="21" t="str">
        <f t="shared" si="8"/>
        <v>OK</v>
      </c>
    </row>
    <row r="89" spans="1:15" x14ac:dyDescent="0.3">
      <c r="A89" s="4" t="str">
        <f t="shared" si="6"/>
        <v>F|284764</v>
      </c>
      <c r="B89" s="4" t="s">
        <v>320</v>
      </c>
      <c r="C89" s="4" t="s">
        <v>413</v>
      </c>
      <c r="D89" s="4" t="s">
        <v>322</v>
      </c>
      <c r="E89" s="4" t="s">
        <v>414</v>
      </c>
      <c r="F89" s="4">
        <v>843</v>
      </c>
      <c r="G89" s="15">
        <v>46269</v>
      </c>
      <c r="H89" s="15">
        <v>46295</v>
      </c>
      <c r="I89" s="11">
        <v>1826.74</v>
      </c>
      <c r="J89" s="11">
        <v>0</v>
      </c>
      <c r="K89" s="11">
        <v>0</v>
      </c>
      <c r="L89" s="11">
        <v>0</v>
      </c>
      <c r="M89" s="11">
        <v>1826.74</v>
      </c>
      <c r="N89" s="5">
        <f t="shared" si="7"/>
        <v>1826.74</v>
      </c>
      <c r="O89" s="4" t="str">
        <f t="shared" si="8"/>
        <v>OK</v>
      </c>
    </row>
    <row r="90" spans="1:15" x14ac:dyDescent="0.3">
      <c r="A90" s="4" t="str">
        <f t="shared" si="6"/>
        <v>F|284745</v>
      </c>
      <c r="B90" s="4" t="s">
        <v>320</v>
      </c>
      <c r="C90" s="4" t="s">
        <v>413</v>
      </c>
      <c r="D90" s="4" t="s">
        <v>322</v>
      </c>
      <c r="E90" s="4" t="s">
        <v>415</v>
      </c>
      <c r="F90" s="4">
        <v>849</v>
      </c>
      <c r="G90" s="15">
        <v>46269</v>
      </c>
      <c r="H90" s="15">
        <v>46295</v>
      </c>
      <c r="I90" s="11">
        <v>1929.55</v>
      </c>
      <c r="J90" s="11">
        <v>0</v>
      </c>
      <c r="K90" s="11">
        <v>0</v>
      </c>
      <c r="L90" s="11">
        <v>0</v>
      </c>
      <c r="M90" s="11">
        <v>1929.55</v>
      </c>
      <c r="N90" s="5">
        <f t="shared" si="7"/>
        <v>1929.55</v>
      </c>
      <c r="O90" s="4" t="str">
        <f t="shared" si="8"/>
        <v>OK</v>
      </c>
    </row>
    <row r="91" spans="1:15" x14ac:dyDescent="0.3">
      <c r="A91" s="4" t="str">
        <f t="shared" si="6"/>
        <v>F|285012</v>
      </c>
      <c r="B91" s="4" t="s">
        <v>320</v>
      </c>
      <c r="C91" s="4" t="s">
        <v>413</v>
      </c>
      <c r="D91" s="4" t="s">
        <v>322</v>
      </c>
      <c r="E91" s="4" t="s">
        <v>416</v>
      </c>
      <c r="F91" s="4">
        <v>825</v>
      </c>
      <c r="G91" s="15">
        <v>46273</v>
      </c>
      <c r="H91" s="15">
        <v>46295</v>
      </c>
      <c r="I91" s="11">
        <v>2118.4499999999998</v>
      </c>
      <c r="J91" s="11">
        <v>0</v>
      </c>
      <c r="K91" s="11">
        <v>0</v>
      </c>
      <c r="L91" s="11">
        <v>0</v>
      </c>
      <c r="M91" s="11">
        <v>2118.4499999999998</v>
      </c>
      <c r="N91" s="5">
        <f t="shared" si="7"/>
        <v>2118.4499999999998</v>
      </c>
      <c r="O91" s="4" t="str">
        <f t="shared" si="8"/>
        <v>OK</v>
      </c>
    </row>
    <row r="92" spans="1:15" x14ac:dyDescent="0.3">
      <c r="A92" s="4" t="str">
        <f t="shared" si="6"/>
        <v>F|282011</v>
      </c>
      <c r="B92" s="4" t="s">
        <v>320</v>
      </c>
      <c r="C92" s="4" t="s">
        <v>413</v>
      </c>
      <c r="D92" s="4" t="s">
        <v>322</v>
      </c>
      <c r="E92" s="4" t="s">
        <v>417</v>
      </c>
      <c r="F92" s="4">
        <v>846</v>
      </c>
      <c r="G92" s="15">
        <v>46273</v>
      </c>
      <c r="H92" s="15">
        <v>46295</v>
      </c>
      <c r="I92" s="11">
        <v>1904.22</v>
      </c>
      <c r="J92" s="11">
        <v>0</v>
      </c>
      <c r="K92" s="11">
        <v>0</v>
      </c>
      <c r="L92" s="11">
        <v>0</v>
      </c>
      <c r="M92" s="11">
        <v>1904.22</v>
      </c>
      <c r="N92" s="5">
        <f t="shared" si="7"/>
        <v>1904.22</v>
      </c>
      <c r="O92" s="4" t="str">
        <f t="shared" si="8"/>
        <v>OK</v>
      </c>
    </row>
    <row r="93" spans="1:15" x14ac:dyDescent="0.3">
      <c r="A93" s="4" t="str">
        <f t="shared" si="6"/>
        <v>F|283892</v>
      </c>
      <c r="B93" s="4" t="s">
        <v>320</v>
      </c>
      <c r="C93" s="4" t="s">
        <v>418</v>
      </c>
      <c r="D93" s="4" t="s">
        <v>339</v>
      </c>
      <c r="E93" s="4" t="s">
        <v>419</v>
      </c>
      <c r="F93" s="4">
        <v>939</v>
      </c>
      <c r="G93" s="15">
        <v>46288</v>
      </c>
      <c r="H93" s="15">
        <v>46288</v>
      </c>
      <c r="I93" s="11">
        <v>1691.15</v>
      </c>
      <c r="J93" s="11">
        <v>0</v>
      </c>
      <c r="K93" s="11">
        <v>0</v>
      </c>
      <c r="L93" s="11">
        <v>0</v>
      </c>
      <c r="M93" s="11">
        <v>1691.15</v>
      </c>
      <c r="N93" s="5">
        <f t="shared" si="7"/>
        <v>1691.15</v>
      </c>
      <c r="O93" s="4" t="str">
        <f t="shared" si="8"/>
        <v>OK</v>
      </c>
    </row>
    <row r="94" spans="1:15" x14ac:dyDescent="0.3">
      <c r="A94" s="4" t="str">
        <f t="shared" si="6"/>
        <v>F|284434</v>
      </c>
      <c r="B94" s="4" t="s">
        <v>320</v>
      </c>
      <c r="C94" s="4" t="s">
        <v>418</v>
      </c>
      <c r="D94" s="4" t="s">
        <v>339</v>
      </c>
      <c r="E94" s="4" t="s">
        <v>420</v>
      </c>
      <c r="F94" s="4">
        <v>940</v>
      </c>
      <c r="G94" s="15">
        <v>46288</v>
      </c>
      <c r="H94" s="15">
        <v>46288</v>
      </c>
      <c r="I94" s="11">
        <v>1828.23</v>
      </c>
      <c r="J94" s="11">
        <v>0</v>
      </c>
      <c r="K94" s="11">
        <v>0</v>
      </c>
      <c r="L94" s="11">
        <v>0</v>
      </c>
      <c r="M94" s="11">
        <v>1828.23</v>
      </c>
      <c r="N94" s="5">
        <f t="shared" si="7"/>
        <v>1828.23</v>
      </c>
      <c r="O94" s="4" t="str">
        <f t="shared" si="8"/>
        <v>OK</v>
      </c>
    </row>
    <row r="95" spans="1:15" x14ac:dyDescent="0.3">
      <c r="A95" s="4" t="str">
        <f t="shared" si="6"/>
        <v>F|283794</v>
      </c>
      <c r="B95" s="4" t="s">
        <v>320</v>
      </c>
      <c r="C95" s="4" t="s">
        <v>418</v>
      </c>
      <c r="D95" s="4" t="s">
        <v>339</v>
      </c>
      <c r="E95" s="4" t="s">
        <v>421</v>
      </c>
      <c r="F95" s="4">
        <v>941</v>
      </c>
      <c r="G95" s="15">
        <v>46288</v>
      </c>
      <c r="H95" s="15">
        <v>46288</v>
      </c>
      <c r="I95" s="11">
        <v>1835.68</v>
      </c>
      <c r="J95" s="11">
        <v>0</v>
      </c>
      <c r="K95" s="11">
        <v>0</v>
      </c>
      <c r="L95" s="11">
        <v>0</v>
      </c>
      <c r="M95" s="11">
        <v>1835.68</v>
      </c>
      <c r="N95" s="5">
        <f t="shared" si="7"/>
        <v>1835.68</v>
      </c>
      <c r="O95" s="4" t="str">
        <f t="shared" si="8"/>
        <v>OK</v>
      </c>
    </row>
    <row r="96" spans="1:15" x14ac:dyDescent="0.3">
      <c r="A96" s="4" t="str">
        <f t="shared" si="6"/>
        <v>F|283890</v>
      </c>
      <c r="B96" s="4" t="s">
        <v>320</v>
      </c>
      <c r="C96" s="4" t="s">
        <v>418</v>
      </c>
      <c r="D96" s="4" t="s">
        <v>339</v>
      </c>
      <c r="E96" s="4" t="s">
        <v>422</v>
      </c>
      <c r="F96" s="4">
        <v>942</v>
      </c>
      <c r="G96" s="15">
        <v>46288</v>
      </c>
      <c r="H96" s="15">
        <v>46288</v>
      </c>
      <c r="I96" s="11">
        <v>2002.45</v>
      </c>
      <c r="J96" s="11">
        <v>0</v>
      </c>
      <c r="K96" s="11">
        <v>0</v>
      </c>
      <c r="L96" s="11">
        <v>0</v>
      </c>
      <c r="M96" s="11">
        <v>2002.45</v>
      </c>
      <c r="N96" s="5">
        <f t="shared" si="7"/>
        <v>2002.45</v>
      </c>
      <c r="O96" s="4" t="str">
        <f t="shared" si="8"/>
        <v>OK</v>
      </c>
    </row>
    <row r="97" spans="1:15" x14ac:dyDescent="0.3">
      <c r="A97" s="4" t="str">
        <f t="shared" si="6"/>
        <v>F|284447</v>
      </c>
      <c r="B97" s="4" t="s">
        <v>320</v>
      </c>
      <c r="C97" s="4" t="s">
        <v>418</v>
      </c>
      <c r="D97" s="4" t="s">
        <v>339</v>
      </c>
      <c r="E97" s="4" t="s">
        <v>423</v>
      </c>
      <c r="F97" s="4">
        <v>943</v>
      </c>
      <c r="G97" s="15">
        <v>46288</v>
      </c>
      <c r="H97" s="15">
        <v>46288</v>
      </c>
      <c r="I97" s="11">
        <v>2235</v>
      </c>
      <c r="J97" s="11">
        <v>0</v>
      </c>
      <c r="K97" s="11">
        <v>0</v>
      </c>
      <c r="L97" s="11">
        <v>0</v>
      </c>
      <c r="M97" s="11">
        <v>2235</v>
      </c>
      <c r="N97" s="5">
        <f t="shared" si="7"/>
        <v>2235</v>
      </c>
      <c r="O97" s="4" t="str">
        <f t="shared" si="8"/>
        <v>OK</v>
      </c>
    </row>
    <row r="98" spans="1:15" x14ac:dyDescent="0.3">
      <c r="A98" s="4" t="str">
        <f t="shared" si="6"/>
        <v>F|5273</v>
      </c>
      <c r="B98" s="4" t="s">
        <v>320</v>
      </c>
      <c r="C98" s="4" t="s">
        <v>424</v>
      </c>
      <c r="D98" s="4" t="s">
        <v>325</v>
      </c>
      <c r="E98" s="4" t="s">
        <v>257</v>
      </c>
      <c r="F98" s="4">
        <v>593</v>
      </c>
      <c r="G98" s="15">
        <v>46253</v>
      </c>
      <c r="H98" s="15">
        <v>46274</v>
      </c>
      <c r="I98" s="11">
        <v>9688.84</v>
      </c>
      <c r="J98" s="11">
        <v>227.25</v>
      </c>
      <c r="K98" s="11">
        <v>0</v>
      </c>
      <c r="L98" s="11">
        <v>0</v>
      </c>
      <c r="M98" s="11">
        <v>9461.59</v>
      </c>
      <c r="N98" s="5">
        <f t="shared" si="7"/>
        <v>9461.59</v>
      </c>
      <c r="O98" s="4" t="str">
        <f t="shared" si="8"/>
        <v>OK</v>
      </c>
    </row>
    <row r="99" spans="1:15" x14ac:dyDescent="0.3">
      <c r="A99" s="4" t="str">
        <f t="shared" si="6"/>
        <v>F|5826</v>
      </c>
      <c r="B99" s="4" t="s">
        <v>320</v>
      </c>
      <c r="C99" s="4" t="s">
        <v>425</v>
      </c>
      <c r="D99" s="4" t="s">
        <v>325</v>
      </c>
      <c r="E99" s="4" t="s">
        <v>251</v>
      </c>
      <c r="F99" s="4">
        <v>634</v>
      </c>
      <c r="G99" s="15">
        <v>46261</v>
      </c>
      <c r="H99" s="15">
        <v>46267</v>
      </c>
      <c r="I99" s="11">
        <v>124431.22</v>
      </c>
      <c r="J99" s="11">
        <v>10576.65</v>
      </c>
      <c r="K99" s="11">
        <v>0</v>
      </c>
      <c r="L99" s="11">
        <v>0</v>
      </c>
      <c r="M99" s="11">
        <v>113854.57</v>
      </c>
      <c r="N99" s="5">
        <f t="shared" si="7"/>
        <v>113854.57</v>
      </c>
      <c r="O99" s="4" t="str">
        <f t="shared" si="8"/>
        <v>OK</v>
      </c>
    </row>
    <row r="100" spans="1:15" x14ac:dyDescent="0.3">
      <c r="A100" s="4" t="str">
        <f t="shared" si="6"/>
        <v>F|5880</v>
      </c>
      <c r="B100" s="4" t="s">
        <v>320</v>
      </c>
      <c r="C100" s="4" t="s">
        <v>425</v>
      </c>
      <c r="D100" s="4" t="s">
        <v>325</v>
      </c>
      <c r="E100" s="4" t="s">
        <v>426</v>
      </c>
      <c r="F100" s="4">
        <v>1008</v>
      </c>
      <c r="G100" s="15">
        <v>46293</v>
      </c>
      <c r="H100" s="15">
        <v>46295</v>
      </c>
      <c r="I100" s="11">
        <v>247097.75</v>
      </c>
      <c r="J100" s="11">
        <v>21003.31</v>
      </c>
      <c r="K100" s="11">
        <v>0</v>
      </c>
      <c r="L100" s="11">
        <v>0</v>
      </c>
      <c r="M100" s="11">
        <v>226094.44</v>
      </c>
      <c r="N100" s="5">
        <f t="shared" si="7"/>
        <v>226094.44</v>
      </c>
      <c r="O100" s="4" t="str">
        <f t="shared" si="8"/>
        <v>OK</v>
      </c>
    </row>
    <row r="101" spans="1:15" x14ac:dyDescent="0.3">
      <c r="A101" s="4" t="str">
        <f t="shared" ref="A101:A126" si="9">LEFT(B101,1)&amp;"|"&amp;E101</f>
        <v>F|194</v>
      </c>
      <c r="B101" s="4" t="s">
        <v>320</v>
      </c>
      <c r="C101" s="4" t="s">
        <v>427</v>
      </c>
      <c r="D101" s="4" t="s">
        <v>325</v>
      </c>
      <c r="E101" s="4" t="s">
        <v>428</v>
      </c>
      <c r="F101" s="4">
        <v>865</v>
      </c>
      <c r="G101" s="15">
        <v>46282</v>
      </c>
      <c r="H101" s="15">
        <v>46295</v>
      </c>
      <c r="I101" s="11">
        <v>109865.42</v>
      </c>
      <c r="J101" s="11">
        <v>12249.99</v>
      </c>
      <c r="K101" s="11">
        <v>0</v>
      </c>
      <c r="L101" s="11">
        <v>0</v>
      </c>
      <c r="M101" s="11">
        <v>97615.43</v>
      </c>
      <c r="N101" s="5">
        <f t="shared" ref="N101:N126" si="10">I101-J101-K101+L101</f>
        <v>97615.43</v>
      </c>
      <c r="O101" s="4" t="str">
        <f t="shared" ref="O101:O126" si="11">IF(ABS(N101-M101)&lt;0.005,"OK","VERIFICAR")</f>
        <v>OK</v>
      </c>
    </row>
    <row r="102" spans="1:15" x14ac:dyDescent="0.3">
      <c r="A102" s="4" t="str">
        <f t="shared" si="9"/>
        <v>F|273</v>
      </c>
      <c r="B102" s="4" t="s">
        <v>320</v>
      </c>
      <c r="C102" s="4" t="s">
        <v>429</v>
      </c>
      <c r="D102" s="4" t="s">
        <v>325</v>
      </c>
      <c r="E102" s="4" t="s">
        <v>157</v>
      </c>
      <c r="F102" s="4">
        <v>727</v>
      </c>
      <c r="G102" s="15">
        <v>46261</v>
      </c>
      <c r="H102" s="15">
        <v>46281</v>
      </c>
      <c r="I102" s="11">
        <v>26077.5</v>
      </c>
      <c r="J102" s="11">
        <v>1166.6300000000001</v>
      </c>
      <c r="K102" s="11">
        <v>7.5</v>
      </c>
      <c r="L102" s="11">
        <v>0</v>
      </c>
      <c r="M102" s="11">
        <v>24903.37</v>
      </c>
      <c r="N102" s="5">
        <f t="shared" si="10"/>
        <v>24903.37</v>
      </c>
      <c r="O102" s="4" t="str">
        <f t="shared" si="11"/>
        <v>OK</v>
      </c>
    </row>
    <row r="103" spans="1:15" x14ac:dyDescent="0.3">
      <c r="A103" s="4" t="str">
        <f t="shared" si="9"/>
        <v>F|1468</v>
      </c>
      <c r="B103" s="4" t="s">
        <v>320</v>
      </c>
      <c r="C103" s="4" t="s">
        <v>430</v>
      </c>
      <c r="D103" s="4" t="s">
        <v>322</v>
      </c>
      <c r="E103" s="4" t="s">
        <v>431</v>
      </c>
      <c r="F103" s="4">
        <v>657</v>
      </c>
      <c r="G103" s="15">
        <v>46259</v>
      </c>
      <c r="H103" s="15">
        <v>46281</v>
      </c>
      <c r="I103" s="11">
        <v>12298.9</v>
      </c>
      <c r="J103" s="11">
        <v>0</v>
      </c>
      <c r="K103" s="11">
        <v>0</v>
      </c>
      <c r="L103" s="11">
        <v>0.02</v>
      </c>
      <c r="M103" s="11">
        <v>12298.92</v>
      </c>
      <c r="N103" s="5">
        <f t="shared" si="10"/>
        <v>12298.92</v>
      </c>
      <c r="O103" s="4" t="str">
        <f t="shared" si="11"/>
        <v>OK</v>
      </c>
    </row>
    <row r="104" spans="1:15" x14ac:dyDescent="0.3">
      <c r="A104" s="4" t="str">
        <f t="shared" si="9"/>
        <v>F|2118</v>
      </c>
      <c r="B104" s="4" t="s">
        <v>320</v>
      </c>
      <c r="C104" s="4" t="s">
        <v>432</v>
      </c>
      <c r="D104" s="4" t="s">
        <v>322</v>
      </c>
      <c r="E104" s="4" t="s">
        <v>433</v>
      </c>
      <c r="F104" s="4">
        <v>614</v>
      </c>
      <c r="G104" s="15">
        <v>46245</v>
      </c>
      <c r="H104" s="15">
        <v>46267</v>
      </c>
      <c r="I104" s="11">
        <v>2254.1999999999998</v>
      </c>
      <c r="J104" s="11">
        <v>0</v>
      </c>
      <c r="K104" s="11">
        <v>0</v>
      </c>
      <c r="L104" s="11">
        <v>0</v>
      </c>
      <c r="M104" s="11">
        <v>2254.1999999999998</v>
      </c>
      <c r="N104" s="5">
        <f t="shared" si="10"/>
        <v>2254.1999999999998</v>
      </c>
      <c r="O104" s="4" t="str">
        <f t="shared" si="11"/>
        <v>OK</v>
      </c>
    </row>
    <row r="105" spans="1:15" x14ac:dyDescent="0.3">
      <c r="A105" s="4" t="str">
        <f t="shared" si="9"/>
        <v>F|411</v>
      </c>
      <c r="B105" s="4" t="s">
        <v>320</v>
      </c>
      <c r="C105" s="4" t="s">
        <v>432</v>
      </c>
      <c r="D105" s="4" t="s">
        <v>322</v>
      </c>
      <c r="E105" s="4" t="s">
        <v>434</v>
      </c>
      <c r="F105" s="4">
        <v>628</v>
      </c>
      <c r="G105" s="15">
        <v>46231</v>
      </c>
      <c r="H105" s="15">
        <v>46274</v>
      </c>
      <c r="I105" s="11">
        <v>2238.6</v>
      </c>
      <c r="J105" s="11">
        <v>0</v>
      </c>
      <c r="K105" s="11">
        <v>0</v>
      </c>
      <c r="L105" s="11">
        <v>0</v>
      </c>
      <c r="M105" s="11">
        <v>2238.6</v>
      </c>
      <c r="N105" s="5">
        <f t="shared" si="10"/>
        <v>2238.6</v>
      </c>
      <c r="O105" s="4" t="str">
        <f t="shared" si="11"/>
        <v>OK</v>
      </c>
    </row>
    <row r="106" spans="1:15" x14ac:dyDescent="0.3">
      <c r="A106" s="4" t="str">
        <f t="shared" si="9"/>
        <v>F|2527</v>
      </c>
      <c r="B106" s="4" t="s">
        <v>320</v>
      </c>
      <c r="C106" s="4" t="s">
        <v>432</v>
      </c>
      <c r="D106" s="4" t="s">
        <v>322</v>
      </c>
      <c r="E106" s="4" t="s">
        <v>435</v>
      </c>
      <c r="F106" s="4">
        <v>807</v>
      </c>
      <c r="G106" s="15">
        <v>46259</v>
      </c>
      <c r="H106" s="15">
        <v>46288</v>
      </c>
      <c r="I106" s="11">
        <v>2226</v>
      </c>
      <c r="J106" s="11">
        <v>0</v>
      </c>
      <c r="K106" s="11">
        <v>0</v>
      </c>
      <c r="L106" s="11">
        <v>0</v>
      </c>
      <c r="M106" s="11">
        <v>2226</v>
      </c>
      <c r="N106" s="5">
        <f t="shared" si="10"/>
        <v>2226</v>
      </c>
      <c r="O106" s="4" t="str">
        <f t="shared" si="11"/>
        <v>OK</v>
      </c>
    </row>
    <row r="107" spans="1:15" x14ac:dyDescent="0.3">
      <c r="A107" s="21" t="str">
        <f t="shared" si="9"/>
        <v>T|23391</v>
      </c>
      <c r="B107" s="21" t="s">
        <v>378</v>
      </c>
      <c r="C107" s="21" t="s">
        <v>436</v>
      </c>
      <c r="D107" s="21" t="s">
        <v>214</v>
      </c>
      <c r="E107" s="21" t="s">
        <v>170</v>
      </c>
      <c r="F107" s="21">
        <v>575</v>
      </c>
      <c r="G107" s="22">
        <v>46241</v>
      </c>
      <c r="H107" s="22">
        <v>46283</v>
      </c>
      <c r="I107" s="23">
        <v>32.33</v>
      </c>
      <c r="J107" s="23">
        <v>0</v>
      </c>
      <c r="K107" s="23">
        <v>0</v>
      </c>
      <c r="L107" s="23">
        <v>0</v>
      </c>
      <c r="M107" s="23">
        <v>32.33</v>
      </c>
      <c r="N107" s="24">
        <f t="shared" si="10"/>
        <v>32.33</v>
      </c>
      <c r="O107" s="21" t="str">
        <f t="shared" si="11"/>
        <v>OK</v>
      </c>
    </row>
    <row r="108" spans="1:15" x14ac:dyDescent="0.3">
      <c r="A108" s="21" t="str">
        <f t="shared" si="9"/>
        <v>T|22853</v>
      </c>
      <c r="B108" s="21" t="s">
        <v>378</v>
      </c>
      <c r="C108" s="21" t="s">
        <v>436</v>
      </c>
      <c r="D108" s="21" t="s">
        <v>214</v>
      </c>
      <c r="E108" s="21" t="s">
        <v>202</v>
      </c>
      <c r="F108" s="21">
        <v>563</v>
      </c>
      <c r="G108" s="22">
        <v>46245</v>
      </c>
      <c r="H108" s="22">
        <v>46283</v>
      </c>
      <c r="I108" s="23">
        <v>29</v>
      </c>
      <c r="J108" s="23">
        <v>0</v>
      </c>
      <c r="K108" s="23">
        <v>0</v>
      </c>
      <c r="L108" s="23">
        <v>0</v>
      </c>
      <c r="M108" s="23">
        <v>29</v>
      </c>
      <c r="N108" s="24">
        <f t="shared" si="10"/>
        <v>29</v>
      </c>
      <c r="O108" s="21" t="str">
        <f t="shared" si="11"/>
        <v>OK</v>
      </c>
    </row>
    <row r="109" spans="1:15" x14ac:dyDescent="0.3">
      <c r="A109" s="21" t="str">
        <f t="shared" si="9"/>
        <v>T|7662</v>
      </c>
      <c r="B109" s="21" t="s">
        <v>378</v>
      </c>
      <c r="C109" s="21" t="s">
        <v>436</v>
      </c>
      <c r="D109" s="21" t="s">
        <v>214</v>
      </c>
      <c r="E109" s="21" t="s">
        <v>145</v>
      </c>
      <c r="F109" s="21">
        <v>602</v>
      </c>
      <c r="G109" s="22">
        <v>46253</v>
      </c>
      <c r="H109" s="22">
        <v>46283</v>
      </c>
      <c r="I109" s="23">
        <v>7.2</v>
      </c>
      <c r="J109" s="23">
        <v>0</v>
      </c>
      <c r="K109" s="23">
        <v>0</v>
      </c>
      <c r="L109" s="23">
        <v>0</v>
      </c>
      <c r="M109" s="23">
        <v>7.2</v>
      </c>
      <c r="N109" s="24">
        <f t="shared" si="10"/>
        <v>7.2</v>
      </c>
      <c r="O109" s="21" t="str">
        <f t="shared" si="11"/>
        <v>OK</v>
      </c>
    </row>
    <row r="110" spans="1:15" x14ac:dyDescent="0.3">
      <c r="A110" s="21" t="str">
        <f t="shared" si="9"/>
        <v>T|179</v>
      </c>
      <c r="B110" s="21" t="s">
        <v>378</v>
      </c>
      <c r="C110" s="21" t="s">
        <v>437</v>
      </c>
      <c r="D110" s="21" t="s">
        <v>297</v>
      </c>
      <c r="E110" s="21" t="s">
        <v>298</v>
      </c>
      <c r="F110" s="21">
        <v>537</v>
      </c>
      <c r="G110" s="22">
        <v>46245</v>
      </c>
      <c r="H110" s="22">
        <v>46283</v>
      </c>
      <c r="I110" s="23">
        <v>1592.45</v>
      </c>
      <c r="J110" s="23">
        <v>0</v>
      </c>
      <c r="K110" s="23">
        <v>0</v>
      </c>
      <c r="L110" s="23">
        <v>0</v>
      </c>
      <c r="M110" s="23">
        <v>1592.45</v>
      </c>
      <c r="N110" s="24">
        <f t="shared" si="10"/>
        <v>1592.45</v>
      </c>
      <c r="O110" s="21" t="str">
        <f t="shared" si="11"/>
        <v>OK</v>
      </c>
    </row>
    <row r="111" spans="1:15" x14ac:dyDescent="0.3">
      <c r="A111" s="21" t="str">
        <f t="shared" si="9"/>
        <v>T|170</v>
      </c>
      <c r="B111" s="21" t="s">
        <v>378</v>
      </c>
      <c r="C111" s="21" t="s">
        <v>438</v>
      </c>
      <c r="D111" s="21" t="s">
        <v>192</v>
      </c>
      <c r="E111" s="21" t="s">
        <v>106</v>
      </c>
      <c r="F111" s="21">
        <v>622</v>
      </c>
      <c r="G111" s="22">
        <v>46237</v>
      </c>
      <c r="H111" s="22">
        <v>46283</v>
      </c>
      <c r="I111" s="23">
        <v>600</v>
      </c>
      <c r="J111" s="23">
        <v>0</v>
      </c>
      <c r="K111" s="23">
        <v>0</v>
      </c>
      <c r="L111" s="23">
        <v>0</v>
      </c>
      <c r="M111" s="23">
        <v>600</v>
      </c>
      <c r="N111" s="24">
        <f t="shared" si="10"/>
        <v>600</v>
      </c>
      <c r="O111" s="21" t="str">
        <f t="shared" si="11"/>
        <v>OK</v>
      </c>
    </row>
    <row r="112" spans="1:15" x14ac:dyDescent="0.3">
      <c r="A112" s="21" t="str">
        <f t="shared" si="9"/>
        <v>T|23391</v>
      </c>
      <c r="B112" s="21" t="s">
        <v>378</v>
      </c>
      <c r="C112" s="21" t="s">
        <v>438</v>
      </c>
      <c r="D112" s="21" t="s">
        <v>192</v>
      </c>
      <c r="E112" s="21" t="s">
        <v>170</v>
      </c>
      <c r="F112" s="21">
        <v>575</v>
      </c>
      <c r="G112" s="22">
        <v>46241</v>
      </c>
      <c r="H112" s="22">
        <v>46283</v>
      </c>
      <c r="I112" s="23">
        <v>96.99</v>
      </c>
      <c r="J112" s="23">
        <v>0</v>
      </c>
      <c r="K112" s="23">
        <v>0</v>
      </c>
      <c r="L112" s="23">
        <v>0</v>
      </c>
      <c r="M112" s="23">
        <v>96.99</v>
      </c>
      <c r="N112" s="24">
        <f t="shared" si="10"/>
        <v>96.99</v>
      </c>
      <c r="O112" s="21" t="str">
        <f t="shared" si="11"/>
        <v>OK</v>
      </c>
    </row>
    <row r="113" spans="1:15" x14ac:dyDescent="0.3">
      <c r="A113" s="21" t="str">
        <f t="shared" si="9"/>
        <v>T|22853</v>
      </c>
      <c r="B113" s="21" t="s">
        <v>378</v>
      </c>
      <c r="C113" s="21" t="s">
        <v>438</v>
      </c>
      <c r="D113" s="21" t="s">
        <v>192</v>
      </c>
      <c r="E113" s="21" t="s">
        <v>202</v>
      </c>
      <c r="F113" s="21">
        <v>563</v>
      </c>
      <c r="G113" s="22">
        <v>46245</v>
      </c>
      <c r="H113" s="22">
        <v>46283</v>
      </c>
      <c r="I113" s="23">
        <v>87</v>
      </c>
      <c r="J113" s="23">
        <v>0</v>
      </c>
      <c r="K113" s="23">
        <v>0</v>
      </c>
      <c r="L113" s="23">
        <v>0</v>
      </c>
      <c r="M113" s="23">
        <v>87</v>
      </c>
      <c r="N113" s="24">
        <f t="shared" si="10"/>
        <v>87</v>
      </c>
      <c r="O113" s="21" t="str">
        <f t="shared" si="11"/>
        <v>OK</v>
      </c>
    </row>
    <row r="114" spans="1:15" x14ac:dyDescent="0.3">
      <c r="A114" s="21" t="str">
        <f t="shared" si="9"/>
        <v>T|7662</v>
      </c>
      <c r="B114" s="21" t="s">
        <v>378</v>
      </c>
      <c r="C114" s="21" t="s">
        <v>438</v>
      </c>
      <c r="D114" s="21" t="s">
        <v>192</v>
      </c>
      <c r="E114" s="21" t="s">
        <v>145</v>
      </c>
      <c r="F114" s="21">
        <v>602</v>
      </c>
      <c r="G114" s="22">
        <v>46253</v>
      </c>
      <c r="H114" s="22">
        <v>46283</v>
      </c>
      <c r="I114" s="23">
        <v>21.6</v>
      </c>
      <c r="J114" s="23">
        <v>0</v>
      </c>
      <c r="K114" s="23">
        <v>0</v>
      </c>
      <c r="L114" s="23">
        <v>0</v>
      </c>
      <c r="M114" s="23">
        <v>21.6</v>
      </c>
      <c r="N114" s="24">
        <f t="shared" si="10"/>
        <v>21.6</v>
      </c>
      <c r="O114" s="21" t="str">
        <f t="shared" si="11"/>
        <v>OK</v>
      </c>
    </row>
    <row r="115" spans="1:15" x14ac:dyDescent="0.3">
      <c r="A115" s="21" t="str">
        <f t="shared" si="9"/>
        <v>T|170</v>
      </c>
      <c r="B115" s="21" t="s">
        <v>378</v>
      </c>
      <c r="C115" s="21" t="s">
        <v>439</v>
      </c>
      <c r="D115" s="21" t="s">
        <v>149</v>
      </c>
      <c r="E115" s="21" t="s">
        <v>106</v>
      </c>
      <c r="F115" s="21">
        <v>622</v>
      </c>
      <c r="G115" s="22">
        <v>46237</v>
      </c>
      <c r="H115" s="22">
        <v>46283</v>
      </c>
      <c r="I115" s="23">
        <v>330</v>
      </c>
      <c r="J115" s="23">
        <v>0</v>
      </c>
      <c r="K115" s="23">
        <v>0</v>
      </c>
      <c r="L115" s="23">
        <v>0</v>
      </c>
      <c r="M115" s="23">
        <v>330</v>
      </c>
      <c r="N115" s="24">
        <f t="shared" si="10"/>
        <v>330</v>
      </c>
      <c r="O115" s="21" t="str">
        <f t="shared" si="11"/>
        <v>OK</v>
      </c>
    </row>
    <row r="116" spans="1:15" x14ac:dyDescent="0.3">
      <c r="A116" s="21" t="str">
        <f t="shared" si="9"/>
        <v>T|23391</v>
      </c>
      <c r="B116" s="21" t="s">
        <v>378</v>
      </c>
      <c r="C116" s="21" t="s">
        <v>439</v>
      </c>
      <c r="D116" s="21" t="s">
        <v>149</v>
      </c>
      <c r="E116" s="21" t="s">
        <v>170</v>
      </c>
      <c r="F116" s="21">
        <v>575</v>
      </c>
      <c r="G116" s="22">
        <v>46241</v>
      </c>
      <c r="H116" s="22">
        <v>46283</v>
      </c>
      <c r="I116" s="23">
        <v>21.01</v>
      </c>
      <c r="J116" s="23">
        <v>0</v>
      </c>
      <c r="K116" s="23">
        <v>0</v>
      </c>
      <c r="L116" s="23">
        <v>0</v>
      </c>
      <c r="M116" s="23">
        <v>21.01</v>
      </c>
      <c r="N116" s="24">
        <f t="shared" si="10"/>
        <v>21.01</v>
      </c>
      <c r="O116" s="21" t="str">
        <f t="shared" si="11"/>
        <v>OK</v>
      </c>
    </row>
    <row r="117" spans="1:15" x14ac:dyDescent="0.3">
      <c r="A117" s="21" t="str">
        <f t="shared" si="9"/>
        <v>T|22853</v>
      </c>
      <c r="B117" s="21" t="s">
        <v>378</v>
      </c>
      <c r="C117" s="21" t="s">
        <v>439</v>
      </c>
      <c r="D117" s="21" t="s">
        <v>149</v>
      </c>
      <c r="E117" s="21" t="s">
        <v>202</v>
      </c>
      <c r="F117" s="21">
        <v>563</v>
      </c>
      <c r="G117" s="22">
        <v>46245</v>
      </c>
      <c r="H117" s="22">
        <v>46283</v>
      </c>
      <c r="I117" s="23">
        <v>18.850000000000001</v>
      </c>
      <c r="J117" s="23">
        <v>0</v>
      </c>
      <c r="K117" s="23">
        <v>0</v>
      </c>
      <c r="L117" s="23">
        <v>0</v>
      </c>
      <c r="M117" s="23">
        <v>18.850000000000001</v>
      </c>
      <c r="N117" s="24">
        <f t="shared" si="10"/>
        <v>18.850000000000001</v>
      </c>
      <c r="O117" s="21" t="str">
        <f t="shared" si="11"/>
        <v>OK</v>
      </c>
    </row>
    <row r="118" spans="1:15" x14ac:dyDescent="0.3">
      <c r="A118" s="21" t="str">
        <f t="shared" si="9"/>
        <v>T|7662</v>
      </c>
      <c r="B118" s="21" t="s">
        <v>378</v>
      </c>
      <c r="C118" s="21" t="s">
        <v>439</v>
      </c>
      <c r="D118" s="21" t="s">
        <v>149</v>
      </c>
      <c r="E118" s="21" t="s">
        <v>145</v>
      </c>
      <c r="F118" s="21">
        <v>602</v>
      </c>
      <c r="G118" s="22">
        <v>46253</v>
      </c>
      <c r="H118" s="22">
        <v>46283</v>
      </c>
      <c r="I118" s="23">
        <v>4.68</v>
      </c>
      <c r="J118" s="23">
        <v>0</v>
      </c>
      <c r="K118" s="23">
        <v>0</v>
      </c>
      <c r="L118" s="23">
        <v>0</v>
      </c>
      <c r="M118" s="23">
        <v>4.68</v>
      </c>
      <c r="N118" s="24">
        <f t="shared" si="10"/>
        <v>4.68</v>
      </c>
      <c r="O118" s="21" t="str">
        <f t="shared" si="11"/>
        <v>OK</v>
      </c>
    </row>
    <row r="119" spans="1:15" x14ac:dyDescent="0.3">
      <c r="A119" s="4" t="str">
        <f t="shared" si="9"/>
        <v>F|2050</v>
      </c>
      <c r="B119" s="4" t="s">
        <v>320</v>
      </c>
      <c r="C119" s="4" t="s">
        <v>440</v>
      </c>
      <c r="D119" s="4" t="s">
        <v>322</v>
      </c>
      <c r="E119" s="4" t="s">
        <v>441</v>
      </c>
      <c r="F119" s="4">
        <v>584</v>
      </c>
      <c r="G119" s="15">
        <v>46248</v>
      </c>
      <c r="H119" s="15">
        <v>46281</v>
      </c>
      <c r="I119" s="11">
        <v>1296</v>
      </c>
      <c r="J119" s="11">
        <v>0</v>
      </c>
      <c r="K119" s="11">
        <v>0</v>
      </c>
      <c r="L119" s="11">
        <v>0</v>
      </c>
      <c r="M119" s="11">
        <v>1296</v>
      </c>
      <c r="N119" s="5">
        <f t="shared" si="10"/>
        <v>1296</v>
      </c>
      <c r="O119" s="4" t="str">
        <f t="shared" si="11"/>
        <v>OK</v>
      </c>
    </row>
    <row r="120" spans="1:15" x14ac:dyDescent="0.3">
      <c r="A120" s="4" t="str">
        <f t="shared" si="9"/>
        <v>F|1140</v>
      </c>
      <c r="B120" s="4" t="s">
        <v>320</v>
      </c>
      <c r="C120" s="4" t="s">
        <v>442</v>
      </c>
      <c r="D120" s="4" t="s">
        <v>405</v>
      </c>
      <c r="E120" s="4" t="s">
        <v>96</v>
      </c>
      <c r="F120" s="4">
        <v>651</v>
      </c>
      <c r="G120" s="15">
        <v>46252</v>
      </c>
      <c r="H120" s="15">
        <v>46267</v>
      </c>
      <c r="I120" s="11">
        <v>236236.69</v>
      </c>
      <c r="J120" s="11">
        <v>11811.83</v>
      </c>
      <c r="K120" s="11">
        <v>0</v>
      </c>
      <c r="L120" s="11">
        <v>0</v>
      </c>
      <c r="M120" s="11">
        <v>224424.86</v>
      </c>
      <c r="N120" s="5">
        <f t="shared" si="10"/>
        <v>224424.86000000002</v>
      </c>
      <c r="O120" s="4" t="str">
        <f t="shared" si="11"/>
        <v>OK</v>
      </c>
    </row>
    <row r="121" spans="1:15" x14ac:dyDescent="0.3">
      <c r="A121" s="4" t="str">
        <f t="shared" si="9"/>
        <v>F|15</v>
      </c>
      <c r="B121" s="4" t="s">
        <v>320</v>
      </c>
      <c r="C121" s="4" t="s">
        <v>442</v>
      </c>
      <c r="D121" s="4" t="s">
        <v>405</v>
      </c>
      <c r="E121" s="4" t="s">
        <v>443</v>
      </c>
      <c r="F121" s="4">
        <v>796</v>
      </c>
      <c r="G121" s="15">
        <v>46269</v>
      </c>
      <c r="H121" s="15">
        <v>46287</v>
      </c>
      <c r="I121" s="11">
        <v>548347.68999999994</v>
      </c>
      <c r="J121" s="11">
        <v>27417.38</v>
      </c>
      <c r="K121" s="11">
        <v>0</v>
      </c>
      <c r="L121" s="11">
        <v>0</v>
      </c>
      <c r="M121" s="11">
        <v>520930.31</v>
      </c>
      <c r="N121" s="5">
        <f t="shared" si="10"/>
        <v>520930.30999999994</v>
      </c>
      <c r="O121" s="4" t="str">
        <f t="shared" si="11"/>
        <v>OK</v>
      </c>
    </row>
    <row r="122" spans="1:15" x14ac:dyDescent="0.3">
      <c r="A122" s="4" t="str">
        <f t="shared" si="9"/>
        <v>F|302</v>
      </c>
      <c r="B122" s="4" t="s">
        <v>320</v>
      </c>
      <c r="C122" s="4" t="s">
        <v>444</v>
      </c>
      <c r="D122" s="4" t="s">
        <v>325</v>
      </c>
      <c r="E122" s="4" t="s">
        <v>445</v>
      </c>
      <c r="F122" s="4">
        <v>883</v>
      </c>
      <c r="G122" s="15">
        <v>46269</v>
      </c>
      <c r="H122" s="15">
        <v>46295</v>
      </c>
      <c r="I122" s="11">
        <v>583.48</v>
      </c>
      <c r="J122" s="11">
        <v>0</v>
      </c>
      <c r="K122" s="11">
        <v>0</v>
      </c>
      <c r="L122" s="11">
        <v>0</v>
      </c>
      <c r="M122" s="11">
        <v>583.48</v>
      </c>
      <c r="N122" s="5">
        <f t="shared" si="10"/>
        <v>583.48</v>
      </c>
      <c r="O122" s="4" t="str">
        <f t="shared" si="11"/>
        <v>OK</v>
      </c>
    </row>
    <row r="123" spans="1:15" x14ac:dyDescent="0.3">
      <c r="A123" s="4" t="str">
        <f t="shared" si="9"/>
        <v>F|303</v>
      </c>
      <c r="B123" s="4" t="s">
        <v>320</v>
      </c>
      <c r="C123" s="4" t="s">
        <v>444</v>
      </c>
      <c r="D123" s="4" t="s">
        <v>325</v>
      </c>
      <c r="E123" s="4" t="s">
        <v>446</v>
      </c>
      <c r="F123" s="4">
        <v>885</v>
      </c>
      <c r="G123" s="15">
        <v>46269</v>
      </c>
      <c r="H123" s="15">
        <v>46295</v>
      </c>
      <c r="I123" s="11">
        <v>583.48</v>
      </c>
      <c r="J123" s="11">
        <v>0</v>
      </c>
      <c r="K123" s="11">
        <v>0</v>
      </c>
      <c r="L123" s="11">
        <v>0</v>
      </c>
      <c r="M123" s="11">
        <v>583.48</v>
      </c>
      <c r="N123" s="5">
        <f t="shared" si="10"/>
        <v>583.48</v>
      </c>
      <c r="O123" s="4" t="str">
        <f t="shared" si="11"/>
        <v>OK</v>
      </c>
    </row>
    <row r="124" spans="1:15" x14ac:dyDescent="0.3">
      <c r="A124" s="4" t="str">
        <f t="shared" si="9"/>
        <v>F|301</v>
      </c>
      <c r="B124" s="4" t="s">
        <v>320</v>
      </c>
      <c r="C124" s="4" t="s">
        <v>444</v>
      </c>
      <c r="D124" s="4" t="s">
        <v>325</v>
      </c>
      <c r="E124" s="4" t="s">
        <v>447</v>
      </c>
      <c r="F124" s="4">
        <v>888</v>
      </c>
      <c r="G124" s="15">
        <v>46269</v>
      </c>
      <c r="H124" s="15">
        <v>46295</v>
      </c>
      <c r="I124" s="11">
        <v>1320</v>
      </c>
      <c r="J124" s="11">
        <v>0</v>
      </c>
      <c r="K124" s="11">
        <v>0</v>
      </c>
      <c r="L124" s="11">
        <v>0</v>
      </c>
      <c r="M124" s="11">
        <v>1320</v>
      </c>
      <c r="N124" s="5">
        <f t="shared" si="10"/>
        <v>1320</v>
      </c>
      <c r="O124" s="4" t="str">
        <f t="shared" si="11"/>
        <v>OK</v>
      </c>
    </row>
    <row r="125" spans="1:15" x14ac:dyDescent="0.3">
      <c r="A125" s="4" t="str">
        <f t="shared" si="9"/>
        <v>F|169405</v>
      </c>
      <c r="B125" s="4" t="s">
        <v>320</v>
      </c>
      <c r="C125" s="4" t="s">
        <v>448</v>
      </c>
      <c r="D125" s="4" t="s">
        <v>322</v>
      </c>
      <c r="E125" s="4" t="s">
        <v>449</v>
      </c>
      <c r="F125" s="4">
        <v>630</v>
      </c>
      <c r="G125" s="15">
        <v>46239</v>
      </c>
      <c r="H125" s="15">
        <v>46267</v>
      </c>
      <c r="I125" s="11">
        <v>3230</v>
      </c>
      <c r="J125" s="11">
        <v>0</v>
      </c>
      <c r="K125" s="11">
        <v>0</v>
      </c>
      <c r="L125" s="11">
        <v>0</v>
      </c>
      <c r="M125" s="11">
        <v>3230</v>
      </c>
      <c r="N125" s="5">
        <f t="shared" si="10"/>
        <v>3230</v>
      </c>
      <c r="O125" s="4" t="str">
        <f t="shared" si="11"/>
        <v>OK</v>
      </c>
    </row>
    <row r="126" spans="1:15" x14ac:dyDescent="0.3">
      <c r="A126" s="4" t="str">
        <f t="shared" si="9"/>
        <v>F|170363</v>
      </c>
      <c r="B126" s="4" t="s">
        <v>320</v>
      </c>
      <c r="C126" s="4" t="s">
        <v>448</v>
      </c>
      <c r="D126" s="4" t="s">
        <v>322</v>
      </c>
      <c r="E126" s="4" t="s">
        <v>450</v>
      </c>
      <c r="F126" s="4">
        <v>753</v>
      </c>
      <c r="G126" s="15">
        <v>46267</v>
      </c>
      <c r="H126" s="15">
        <v>46295</v>
      </c>
      <c r="I126" s="11">
        <v>8015.46</v>
      </c>
      <c r="J126" s="11">
        <v>0</v>
      </c>
      <c r="K126" s="11">
        <v>0</v>
      </c>
      <c r="L126" s="11">
        <v>0</v>
      </c>
      <c r="M126" s="11">
        <v>8015.46</v>
      </c>
      <c r="N126" s="5">
        <f t="shared" si="10"/>
        <v>8015.46</v>
      </c>
      <c r="O126" s="4" t="str">
        <f t="shared" si="11"/>
        <v>OK</v>
      </c>
    </row>
    <row r="127" spans="1:15" x14ac:dyDescent="0.3">
      <c r="C127" s="16" t="s">
        <v>282</v>
      </c>
      <c r="I127" s="7">
        <f t="shared" ref="I127:N127" si="12">SUM(I5:I126)</f>
        <v>3555830.2300000018</v>
      </c>
      <c r="J127" s="7">
        <f t="shared" si="12"/>
        <v>96525.73</v>
      </c>
      <c r="K127" s="7">
        <f t="shared" si="12"/>
        <v>7.54</v>
      </c>
      <c r="L127" s="7">
        <f t="shared" si="12"/>
        <v>3.02</v>
      </c>
      <c r="M127" s="7">
        <f t="shared" si="12"/>
        <v>3459299.9800000018</v>
      </c>
      <c r="N127" s="7">
        <f t="shared" si="12"/>
        <v>3459299.9800000018</v>
      </c>
    </row>
  </sheetData>
  <autoFilter ref="A4:O127" xr:uid="{00000000-0009-0000-0000-000003000000}"/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1"/>
  <sheetViews>
    <sheetView showGridLines="0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72" sqref="C72"/>
    </sheetView>
  </sheetViews>
  <sheetFormatPr defaultColWidth="8.6640625" defaultRowHeight="14.4" x14ac:dyDescent="0.3"/>
  <cols>
    <col min="1" max="2" width="11" customWidth="1"/>
    <col min="3" max="3" width="12" customWidth="1"/>
    <col min="4" max="4" width="32" customWidth="1"/>
    <col min="5" max="6" width="14" customWidth="1"/>
    <col min="7" max="7" width="13" customWidth="1"/>
    <col min="8" max="8" width="12" customWidth="1"/>
    <col min="9" max="9" width="22" customWidth="1"/>
    <col min="10" max="10" width="40" hidden="1" customWidth="1"/>
  </cols>
  <sheetData>
    <row r="1" spans="1:10" ht="17.399999999999999" x14ac:dyDescent="0.3">
      <c r="A1" s="1" t="s">
        <v>451</v>
      </c>
    </row>
    <row r="2" spans="1:10" hidden="1" x14ac:dyDescent="0.3">
      <c r="A2" s="2" t="s">
        <v>452</v>
      </c>
    </row>
    <row r="4" spans="1:10" ht="30" customHeight="1" x14ac:dyDescent="0.3">
      <c r="A4" s="14" t="s">
        <v>453</v>
      </c>
      <c r="B4" s="14" t="s">
        <v>454</v>
      </c>
      <c r="C4" s="14" t="s">
        <v>455</v>
      </c>
      <c r="D4" s="14" t="s">
        <v>456</v>
      </c>
      <c r="E4" s="14" t="s">
        <v>457</v>
      </c>
      <c r="F4" s="14" t="s">
        <v>317</v>
      </c>
      <c r="G4" s="14" t="s">
        <v>458</v>
      </c>
      <c r="H4" s="14" t="s">
        <v>459</v>
      </c>
      <c r="I4" s="14" t="s">
        <v>460</v>
      </c>
      <c r="J4" s="14" t="s">
        <v>461</v>
      </c>
    </row>
    <row r="5" spans="1:10" x14ac:dyDescent="0.3">
      <c r="A5" s="4" t="s">
        <v>395</v>
      </c>
      <c r="B5" s="4" t="s">
        <v>395</v>
      </c>
      <c r="C5" s="15">
        <v>46260</v>
      </c>
      <c r="D5" s="4" t="s">
        <v>462</v>
      </c>
      <c r="E5" s="11">
        <v>1356</v>
      </c>
      <c r="F5" s="11">
        <v>1356</v>
      </c>
      <c r="G5" s="5">
        <f t="shared" ref="G5:G36" si="0">E5-F5</f>
        <v>0</v>
      </c>
      <c r="H5" s="4" t="s">
        <v>463</v>
      </c>
      <c r="I5" s="4"/>
      <c r="J5" s="4"/>
    </row>
    <row r="6" spans="1:10" x14ac:dyDescent="0.3">
      <c r="A6" s="4" t="s">
        <v>359</v>
      </c>
      <c r="B6" s="4" t="s">
        <v>359</v>
      </c>
      <c r="C6" s="15">
        <v>46261</v>
      </c>
      <c r="D6" s="4" t="s">
        <v>464</v>
      </c>
      <c r="E6" s="11">
        <v>1851.9</v>
      </c>
      <c r="F6" s="11">
        <v>1851.9</v>
      </c>
      <c r="G6" s="5">
        <f t="shared" si="0"/>
        <v>0</v>
      </c>
      <c r="H6" s="4" t="s">
        <v>463</v>
      </c>
      <c r="I6" s="4"/>
      <c r="J6" s="4"/>
    </row>
    <row r="7" spans="1:10" x14ac:dyDescent="0.3">
      <c r="A7" s="4" t="s">
        <v>449</v>
      </c>
      <c r="B7" s="4" t="s">
        <v>449</v>
      </c>
      <c r="C7" s="15">
        <v>46261</v>
      </c>
      <c r="D7" s="4" t="s">
        <v>465</v>
      </c>
      <c r="E7" s="11">
        <v>3230</v>
      </c>
      <c r="F7" s="11">
        <v>3230</v>
      </c>
      <c r="G7" s="5">
        <f t="shared" si="0"/>
        <v>0</v>
      </c>
      <c r="H7" s="4" t="s">
        <v>463</v>
      </c>
      <c r="I7" s="4"/>
      <c r="J7" s="4"/>
    </row>
    <row r="8" spans="1:10" x14ac:dyDescent="0.3">
      <c r="A8" s="4" t="s">
        <v>396</v>
      </c>
      <c r="B8" s="4" t="s">
        <v>396</v>
      </c>
      <c r="C8" s="15">
        <v>46252</v>
      </c>
      <c r="D8" s="4" t="s">
        <v>462</v>
      </c>
      <c r="E8" s="11">
        <v>650</v>
      </c>
      <c r="F8" s="11">
        <v>650</v>
      </c>
      <c r="G8" s="5">
        <f t="shared" si="0"/>
        <v>0</v>
      </c>
      <c r="H8" s="4" t="s">
        <v>463</v>
      </c>
      <c r="I8" s="4"/>
      <c r="J8" s="4"/>
    </row>
    <row r="9" spans="1:10" x14ac:dyDescent="0.3">
      <c r="A9" s="4" t="s">
        <v>202</v>
      </c>
      <c r="B9" s="4" t="s">
        <v>202</v>
      </c>
      <c r="C9" s="15">
        <v>46251</v>
      </c>
      <c r="D9" s="4" t="s">
        <v>466</v>
      </c>
      <c r="E9" s="11">
        <v>2900</v>
      </c>
      <c r="F9" s="11">
        <v>2721</v>
      </c>
      <c r="G9" s="5">
        <f t="shared" si="0"/>
        <v>179</v>
      </c>
      <c r="H9" s="4" t="s">
        <v>463</v>
      </c>
      <c r="I9" s="4"/>
      <c r="J9" s="4"/>
    </row>
    <row r="10" spans="1:10" x14ac:dyDescent="0.3">
      <c r="A10" s="4" t="s">
        <v>361</v>
      </c>
      <c r="B10" s="4" t="s">
        <v>361</v>
      </c>
      <c r="C10" s="15">
        <v>46258</v>
      </c>
      <c r="D10" s="4" t="s">
        <v>467</v>
      </c>
      <c r="E10" s="11">
        <v>2924</v>
      </c>
      <c r="F10" s="11">
        <v>2924</v>
      </c>
      <c r="G10" s="5">
        <f t="shared" si="0"/>
        <v>0</v>
      </c>
      <c r="H10" s="4" t="s">
        <v>463</v>
      </c>
      <c r="I10" s="4"/>
      <c r="J10" s="4"/>
    </row>
    <row r="11" spans="1:10" x14ac:dyDescent="0.3">
      <c r="A11" s="4" t="s">
        <v>363</v>
      </c>
      <c r="B11" s="4" t="s">
        <v>363</v>
      </c>
      <c r="C11" s="15">
        <v>46258</v>
      </c>
      <c r="D11" s="4" t="s">
        <v>468</v>
      </c>
      <c r="E11" s="11">
        <v>172351.89</v>
      </c>
      <c r="F11" s="11">
        <v>172351.89</v>
      </c>
      <c r="G11" s="5">
        <f t="shared" si="0"/>
        <v>0</v>
      </c>
      <c r="H11" s="4" t="s">
        <v>463</v>
      </c>
      <c r="I11" s="4"/>
      <c r="J11" s="4"/>
    </row>
    <row r="12" spans="1:10" x14ac:dyDescent="0.3">
      <c r="A12" s="4" t="s">
        <v>364</v>
      </c>
      <c r="B12" s="4" t="s">
        <v>364</v>
      </c>
      <c r="C12" s="15">
        <v>46258</v>
      </c>
      <c r="D12" s="4" t="s">
        <v>468</v>
      </c>
      <c r="E12" s="11">
        <v>162042.73000000001</v>
      </c>
      <c r="F12" s="11">
        <v>162042.73000000001</v>
      </c>
      <c r="G12" s="5">
        <f t="shared" si="0"/>
        <v>0</v>
      </c>
      <c r="H12" s="4" t="s">
        <v>463</v>
      </c>
      <c r="I12" s="4"/>
      <c r="J12" s="4"/>
    </row>
    <row r="13" spans="1:10" x14ac:dyDescent="0.3">
      <c r="A13" s="4" t="s">
        <v>96</v>
      </c>
      <c r="B13" s="4" t="s">
        <v>96</v>
      </c>
      <c r="C13" s="15">
        <v>46265</v>
      </c>
      <c r="D13" s="4" t="s">
        <v>469</v>
      </c>
      <c r="E13" s="11">
        <v>236236.69</v>
      </c>
      <c r="F13" s="11">
        <v>224424.86</v>
      </c>
      <c r="G13" s="5">
        <f t="shared" si="0"/>
        <v>11811.830000000016</v>
      </c>
      <c r="H13" s="4" t="s">
        <v>463</v>
      </c>
      <c r="I13" s="4"/>
      <c r="J13" s="4"/>
    </row>
    <row r="14" spans="1:10" x14ac:dyDescent="0.3">
      <c r="A14" s="4" t="s">
        <v>470</v>
      </c>
      <c r="B14" s="25" t="s">
        <v>145</v>
      </c>
      <c r="C14" s="15">
        <v>46258</v>
      </c>
      <c r="D14" s="4" t="s">
        <v>471</v>
      </c>
      <c r="E14" s="11">
        <v>720</v>
      </c>
      <c r="F14" s="11">
        <v>639.72</v>
      </c>
      <c r="G14" s="5">
        <f t="shared" si="0"/>
        <v>80.279999999999973</v>
      </c>
      <c r="H14" s="4" t="s">
        <v>463</v>
      </c>
      <c r="I14" s="4"/>
      <c r="J14" s="4" t="s">
        <v>472</v>
      </c>
    </row>
    <row r="15" spans="1:10" x14ac:dyDescent="0.3">
      <c r="A15" s="4" t="s">
        <v>251</v>
      </c>
      <c r="B15" s="4" t="s">
        <v>251</v>
      </c>
      <c r="C15" s="15">
        <v>46262</v>
      </c>
      <c r="D15" s="4" t="s">
        <v>473</v>
      </c>
      <c r="E15" s="11">
        <v>124431.22</v>
      </c>
      <c r="F15" s="11">
        <v>113854.57</v>
      </c>
      <c r="G15" s="5">
        <f t="shared" si="0"/>
        <v>10576.649999999994</v>
      </c>
      <c r="H15" s="4" t="s">
        <v>463</v>
      </c>
      <c r="I15" s="4"/>
      <c r="J15" s="4"/>
    </row>
    <row r="16" spans="1:10" x14ac:dyDescent="0.3">
      <c r="A16" s="4" t="s">
        <v>391</v>
      </c>
      <c r="B16" s="4" t="s">
        <v>391</v>
      </c>
      <c r="C16" s="15">
        <v>46267</v>
      </c>
      <c r="D16" s="4" t="s">
        <v>474</v>
      </c>
      <c r="E16" s="11">
        <v>4969.18</v>
      </c>
      <c r="F16" s="11">
        <v>4969.18</v>
      </c>
      <c r="G16" s="5">
        <f t="shared" si="0"/>
        <v>0</v>
      </c>
      <c r="H16" s="4" t="s">
        <v>463</v>
      </c>
      <c r="I16" s="4" t="s">
        <v>475</v>
      </c>
      <c r="J16" s="4"/>
    </row>
    <row r="17" spans="1:10" x14ac:dyDescent="0.3">
      <c r="A17" s="4" t="s">
        <v>434</v>
      </c>
      <c r="B17" s="4" t="s">
        <v>434</v>
      </c>
      <c r="C17" s="15">
        <v>46261</v>
      </c>
      <c r="D17" s="4" t="s">
        <v>476</v>
      </c>
      <c r="E17" s="11">
        <v>2238.6</v>
      </c>
      <c r="F17" s="11">
        <v>2238.6</v>
      </c>
      <c r="G17" s="5">
        <f t="shared" si="0"/>
        <v>0</v>
      </c>
      <c r="H17" s="4" t="s">
        <v>463</v>
      </c>
      <c r="I17" s="4"/>
      <c r="J17" s="4"/>
    </row>
    <row r="18" spans="1:10" x14ac:dyDescent="0.3">
      <c r="A18" s="4" t="s">
        <v>433</v>
      </c>
      <c r="B18" s="4" t="s">
        <v>433</v>
      </c>
      <c r="C18" s="15">
        <v>46245</v>
      </c>
      <c r="D18" s="4" t="s">
        <v>476</v>
      </c>
      <c r="E18" s="11">
        <v>2254.1999999999998</v>
      </c>
      <c r="F18" s="11">
        <v>2254.1999999999998</v>
      </c>
      <c r="G18" s="5">
        <f t="shared" si="0"/>
        <v>0</v>
      </c>
      <c r="H18" s="4" t="s">
        <v>463</v>
      </c>
      <c r="I18" s="4"/>
      <c r="J18" s="4"/>
    </row>
    <row r="19" spans="1:10" x14ac:dyDescent="0.3">
      <c r="A19" s="4" t="s">
        <v>106</v>
      </c>
      <c r="B19" s="4" t="s">
        <v>106</v>
      </c>
      <c r="C19" s="15">
        <v>46260</v>
      </c>
      <c r="D19" s="4" t="s">
        <v>477</v>
      </c>
      <c r="E19" s="11">
        <v>20000</v>
      </c>
      <c r="F19" s="11">
        <v>18770</v>
      </c>
      <c r="G19" s="5">
        <f t="shared" si="0"/>
        <v>1230</v>
      </c>
      <c r="H19" s="4" t="s">
        <v>463</v>
      </c>
      <c r="I19" s="4"/>
      <c r="J19" s="4"/>
    </row>
    <row r="20" spans="1:10" x14ac:dyDescent="0.3">
      <c r="A20" s="4" t="s">
        <v>188</v>
      </c>
      <c r="B20" s="4" t="s">
        <v>188</v>
      </c>
      <c r="C20" s="15">
        <v>46266</v>
      </c>
      <c r="D20" s="4" t="s">
        <v>478</v>
      </c>
      <c r="E20" s="11">
        <v>1800</v>
      </c>
      <c r="F20" s="11">
        <v>1710</v>
      </c>
      <c r="G20" s="5">
        <f t="shared" si="0"/>
        <v>90</v>
      </c>
      <c r="H20" s="4" t="s">
        <v>463</v>
      </c>
      <c r="I20" s="4"/>
      <c r="J20" s="4"/>
    </row>
    <row r="21" spans="1:10" x14ac:dyDescent="0.3">
      <c r="A21" s="4" t="s">
        <v>354</v>
      </c>
      <c r="B21" s="4" t="s">
        <v>354</v>
      </c>
      <c r="C21" s="15">
        <v>46252</v>
      </c>
      <c r="D21" s="4" t="s">
        <v>479</v>
      </c>
      <c r="E21" s="11">
        <v>15225</v>
      </c>
      <c r="F21" s="11">
        <v>15225</v>
      </c>
      <c r="G21" s="5">
        <f t="shared" si="0"/>
        <v>0</v>
      </c>
      <c r="H21" s="4" t="s">
        <v>463</v>
      </c>
      <c r="I21" s="4"/>
      <c r="J21" s="4"/>
    </row>
    <row r="22" spans="1:10" x14ac:dyDescent="0.3">
      <c r="A22" s="4" t="s">
        <v>400</v>
      </c>
      <c r="B22" s="4" t="s">
        <v>400</v>
      </c>
      <c r="C22" s="15">
        <v>46252</v>
      </c>
      <c r="D22" s="4" t="s">
        <v>480</v>
      </c>
      <c r="E22" s="11">
        <v>490</v>
      </c>
      <c r="F22" s="11">
        <v>490</v>
      </c>
      <c r="G22" s="5">
        <f t="shared" si="0"/>
        <v>0</v>
      </c>
      <c r="H22" s="4" t="s">
        <v>463</v>
      </c>
      <c r="I22" s="4"/>
      <c r="J22" s="4"/>
    </row>
    <row r="23" spans="1:10" x14ac:dyDescent="0.3">
      <c r="A23" s="4" t="s">
        <v>346</v>
      </c>
      <c r="B23" s="4" t="s">
        <v>346</v>
      </c>
      <c r="C23" s="15">
        <v>46262</v>
      </c>
      <c r="D23" s="4" t="s">
        <v>481</v>
      </c>
      <c r="E23" s="11">
        <v>2135</v>
      </c>
      <c r="F23" s="11">
        <v>2135</v>
      </c>
      <c r="G23" s="5">
        <f t="shared" si="0"/>
        <v>0</v>
      </c>
      <c r="H23" s="4" t="s">
        <v>463</v>
      </c>
      <c r="I23" s="4"/>
      <c r="J23" s="4"/>
    </row>
    <row r="24" spans="1:10" x14ac:dyDescent="0.3">
      <c r="A24" s="4" t="s">
        <v>347</v>
      </c>
      <c r="B24" s="4" t="s">
        <v>347</v>
      </c>
      <c r="C24" s="15">
        <v>46262</v>
      </c>
      <c r="D24" s="4" t="s">
        <v>481</v>
      </c>
      <c r="E24" s="11">
        <v>3953.5</v>
      </c>
      <c r="F24" s="11">
        <v>3953.5</v>
      </c>
      <c r="G24" s="5">
        <f t="shared" si="0"/>
        <v>0</v>
      </c>
      <c r="H24" s="4" t="s">
        <v>463</v>
      </c>
      <c r="I24" s="4"/>
      <c r="J24" s="4"/>
    </row>
    <row r="25" spans="1:10" x14ac:dyDescent="0.3">
      <c r="A25" s="4" t="s">
        <v>348</v>
      </c>
      <c r="B25" s="4" t="s">
        <v>348</v>
      </c>
      <c r="C25" s="15">
        <v>46262</v>
      </c>
      <c r="D25" s="4" t="s">
        <v>481</v>
      </c>
      <c r="E25" s="11">
        <v>4965</v>
      </c>
      <c r="F25" s="11">
        <v>4965</v>
      </c>
      <c r="G25" s="5">
        <f t="shared" si="0"/>
        <v>0</v>
      </c>
      <c r="H25" s="4" t="s">
        <v>463</v>
      </c>
      <c r="I25" s="4"/>
      <c r="J25" s="4"/>
    </row>
    <row r="26" spans="1:10" x14ac:dyDescent="0.3">
      <c r="A26" s="4" t="s">
        <v>349</v>
      </c>
      <c r="B26" s="4" t="s">
        <v>349</v>
      </c>
      <c r="C26" s="26">
        <v>46262</v>
      </c>
      <c r="D26" s="4" t="s">
        <v>481</v>
      </c>
      <c r="E26" s="11">
        <v>1525</v>
      </c>
      <c r="F26" s="11">
        <v>1525</v>
      </c>
      <c r="G26" s="5">
        <f t="shared" si="0"/>
        <v>0</v>
      </c>
      <c r="H26" s="4" t="s">
        <v>463</v>
      </c>
      <c r="I26" s="4"/>
      <c r="J26" s="4" t="s">
        <v>482</v>
      </c>
    </row>
    <row r="27" spans="1:10" x14ac:dyDescent="0.3">
      <c r="A27" s="4" t="s">
        <v>350</v>
      </c>
      <c r="B27" s="4" t="s">
        <v>350</v>
      </c>
      <c r="C27" s="15">
        <v>46262</v>
      </c>
      <c r="D27" s="4" t="s">
        <v>481</v>
      </c>
      <c r="E27" s="11">
        <v>1421.8</v>
      </c>
      <c r="F27" s="11">
        <v>1421.8</v>
      </c>
      <c r="G27" s="5">
        <f t="shared" si="0"/>
        <v>0</v>
      </c>
      <c r="H27" s="4" t="s">
        <v>463</v>
      </c>
      <c r="I27" s="4"/>
      <c r="J27" s="4"/>
    </row>
    <row r="28" spans="1:10" x14ac:dyDescent="0.3">
      <c r="A28" s="4" t="s">
        <v>355</v>
      </c>
      <c r="B28" s="4" t="s">
        <v>355</v>
      </c>
      <c r="C28" s="15">
        <v>46252</v>
      </c>
      <c r="D28" s="4" t="s">
        <v>479</v>
      </c>
      <c r="E28" s="11">
        <v>20455</v>
      </c>
      <c r="F28" s="11">
        <v>20455</v>
      </c>
      <c r="G28" s="5">
        <f t="shared" si="0"/>
        <v>0</v>
      </c>
      <c r="H28" s="4" t="s">
        <v>463</v>
      </c>
      <c r="I28" s="4"/>
      <c r="J28" s="4"/>
    </row>
    <row r="29" spans="1:10" x14ac:dyDescent="0.3">
      <c r="A29" s="4" t="s">
        <v>210</v>
      </c>
      <c r="B29" s="4" t="s">
        <v>210</v>
      </c>
      <c r="C29" s="15">
        <v>46258</v>
      </c>
      <c r="D29" s="4" t="s">
        <v>483</v>
      </c>
      <c r="E29" s="11">
        <v>2662.78</v>
      </c>
      <c r="F29" s="11">
        <v>2529.64</v>
      </c>
      <c r="G29" s="5">
        <f t="shared" si="0"/>
        <v>133.14000000000033</v>
      </c>
      <c r="H29" s="4" t="s">
        <v>463</v>
      </c>
      <c r="I29" s="4"/>
      <c r="J29" s="4"/>
    </row>
    <row r="30" spans="1:10" x14ac:dyDescent="0.3">
      <c r="A30" s="4" t="s">
        <v>331</v>
      </c>
      <c r="B30" s="4" t="s">
        <v>331</v>
      </c>
      <c r="C30" s="15">
        <v>46266</v>
      </c>
      <c r="D30" s="4" t="s">
        <v>484</v>
      </c>
      <c r="E30" s="11">
        <v>1325.64</v>
      </c>
      <c r="F30" s="11">
        <v>1325.64</v>
      </c>
      <c r="G30" s="5">
        <f t="shared" si="0"/>
        <v>0</v>
      </c>
      <c r="H30" s="4" t="s">
        <v>463</v>
      </c>
      <c r="I30" s="4"/>
      <c r="J30" s="4"/>
    </row>
    <row r="31" spans="1:10" x14ac:dyDescent="0.3">
      <c r="A31" s="4" t="s">
        <v>257</v>
      </c>
      <c r="B31" s="4" t="s">
        <v>257</v>
      </c>
      <c r="C31" s="15">
        <v>46258</v>
      </c>
      <c r="D31" s="4" t="s">
        <v>485</v>
      </c>
      <c r="E31" s="11">
        <v>9688.84</v>
      </c>
      <c r="F31" s="11">
        <v>9461.59</v>
      </c>
      <c r="G31" s="5">
        <f t="shared" si="0"/>
        <v>227.25</v>
      </c>
      <c r="H31" s="4" t="s">
        <v>463</v>
      </c>
      <c r="I31" s="4" t="s">
        <v>486</v>
      </c>
      <c r="J31" s="4"/>
    </row>
    <row r="32" spans="1:10" x14ac:dyDescent="0.3">
      <c r="A32" s="4" t="s">
        <v>365</v>
      </c>
      <c r="B32" s="4" t="s">
        <v>365</v>
      </c>
      <c r="C32" s="15">
        <v>46258</v>
      </c>
      <c r="D32" s="4" t="s">
        <v>468</v>
      </c>
      <c r="E32" s="11">
        <v>145344.76999999999</v>
      </c>
      <c r="F32" s="11">
        <v>145344.76999999999</v>
      </c>
      <c r="G32" s="5">
        <f t="shared" si="0"/>
        <v>0</v>
      </c>
      <c r="H32" s="4" t="s">
        <v>463</v>
      </c>
      <c r="I32" s="4"/>
      <c r="J32" s="4"/>
    </row>
    <row r="33" spans="1:10" x14ac:dyDescent="0.3">
      <c r="A33" s="4" t="s">
        <v>366</v>
      </c>
      <c r="B33" s="4" t="s">
        <v>366</v>
      </c>
      <c r="C33" s="15">
        <v>46258</v>
      </c>
      <c r="D33" s="4" t="s">
        <v>468</v>
      </c>
      <c r="E33" s="11">
        <v>166108.31</v>
      </c>
      <c r="F33" s="11">
        <v>166108.31</v>
      </c>
      <c r="G33" s="5">
        <f t="shared" si="0"/>
        <v>0</v>
      </c>
      <c r="H33" s="4" t="s">
        <v>463</v>
      </c>
      <c r="I33" s="4"/>
      <c r="J33" s="4"/>
    </row>
    <row r="34" spans="1:10" x14ac:dyDescent="0.3">
      <c r="A34" s="4" t="s">
        <v>333</v>
      </c>
      <c r="B34" s="4" t="s">
        <v>333</v>
      </c>
      <c r="C34" s="15">
        <v>46238</v>
      </c>
      <c r="D34" s="4" t="s">
        <v>487</v>
      </c>
      <c r="E34" s="11">
        <v>42668.95</v>
      </c>
      <c r="F34" s="11">
        <v>42668.95</v>
      </c>
      <c r="G34" s="5">
        <f t="shared" si="0"/>
        <v>0</v>
      </c>
      <c r="H34" s="4" t="s">
        <v>463</v>
      </c>
      <c r="I34" s="4"/>
      <c r="J34" s="4"/>
    </row>
    <row r="35" spans="1:10" x14ac:dyDescent="0.3">
      <c r="A35" s="4" t="s">
        <v>334</v>
      </c>
      <c r="B35" s="4" t="s">
        <v>334</v>
      </c>
      <c r="C35" s="15">
        <v>46238</v>
      </c>
      <c r="D35" s="4" t="s">
        <v>487</v>
      </c>
      <c r="E35" s="11">
        <v>29753.67</v>
      </c>
      <c r="F35" s="11">
        <v>29753.67</v>
      </c>
      <c r="G35" s="5">
        <f t="shared" si="0"/>
        <v>0</v>
      </c>
      <c r="H35" s="4" t="s">
        <v>463</v>
      </c>
      <c r="I35" s="4"/>
      <c r="J35" s="4"/>
    </row>
    <row r="36" spans="1:10" x14ac:dyDescent="0.3">
      <c r="A36" s="4" t="s">
        <v>441</v>
      </c>
      <c r="B36" s="4" t="s">
        <v>441</v>
      </c>
      <c r="C36" s="15">
        <v>46252</v>
      </c>
      <c r="D36" s="4" t="s">
        <v>488</v>
      </c>
      <c r="E36" s="11">
        <v>1296</v>
      </c>
      <c r="F36" s="11">
        <v>1296</v>
      </c>
      <c r="G36" s="5">
        <f t="shared" si="0"/>
        <v>0</v>
      </c>
      <c r="H36" s="4" t="s">
        <v>463</v>
      </c>
      <c r="I36" s="4"/>
      <c r="J36" s="4"/>
    </row>
    <row r="37" spans="1:10" x14ac:dyDescent="0.3">
      <c r="A37" s="4" t="s">
        <v>408</v>
      </c>
      <c r="B37" s="4" t="s">
        <v>408</v>
      </c>
      <c r="C37" s="15">
        <v>46275</v>
      </c>
      <c r="D37" s="4" t="s">
        <v>489</v>
      </c>
      <c r="E37" s="11">
        <v>24320</v>
      </c>
      <c r="F37" s="11">
        <v>24320</v>
      </c>
      <c r="G37" s="5">
        <f t="shared" ref="G37:G68" si="1">E37-F37</f>
        <v>0</v>
      </c>
      <c r="H37" s="4" t="s">
        <v>463</v>
      </c>
      <c r="I37" s="4"/>
      <c r="J37" s="4"/>
    </row>
    <row r="38" spans="1:10" x14ac:dyDescent="0.3">
      <c r="A38" s="4" t="s">
        <v>409</v>
      </c>
      <c r="B38" s="4" t="s">
        <v>409</v>
      </c>
      <c r="C38" s="15">
        <v>46275</v>
      </c>
      <c r="D38" s="4" t="s">
        <v>489</v>
      </c>
      <c r="E38" s="11">
        <v>18240</v>
      </c>
      <c r="F38" s="11">
        <v>18240</v>
      </c>
      <c r="G38" s="5">
        <f t="shared" si="1"/>
        <v>0</v>
      </c>
      <c r="H38" s="4" t="s">
        <v>463</v>
      </c>
      <c r="I38" s="4"/>
      <c r="J38" s="4"/>
    </row>
    <row r="39" spans="1:10" x14ac:dyDescent="0.3">
      <c r="A39" s="4" t="s">
        <v>380</v>
      </c>
      <c r="B39" s="4" t="s">
        <v>380</v>
      </c>
      <c r="C39" s="15">
        <v>46275</v>
      </c>
      <c r="D39" s="4" t="s">
        <v>490</v>
      </c>
      <c r="E39" s="11">
        <v>30300</v>
      </c>
      <c r="F39" s="11">
        <v>30300</v>
      </c>
      <c r="G39" s="5">
        <f t="shared" si="1"/>
        <v>0</v>
      </c>
      <c r="H39" s="4" t="s">
        <v>463</v>
      </c>
      <c r="I39" s="4"/>
      <c r="J39" s="4"/>
    </row>
    <row r="40" spans="1:10" x14ac:dyDescent="0.3">
      <c r="A40" s="4" t="s">
        <v>265</v>
      </c>
      <c r="B40" s="4" t="s">
        <v>265</v>
      </c>
      <c r="C40" s="15">
        <v>46265</v>
      </c>
      <c r="D40" s="4" t="s">
        <v>478</v>
      </c>
      <c r="E40" s="11">
        <v>2250</v>
      </c>
      <c r="F40" s="11">
        <v>2137.5</v>
      </c>
      <c r="G40" s="5">
        <f t="shared" si="1"/>
        <v>112.5</v>
      </c>
      <c r="H40" s="4" t="s">
        <v>463</v>
      </c>
      <c r="I40" s="4" t="s">
        <v>491</v>
      </c>
      <c r="J40" s="4"/>
    </row>
    <row r="41" spans="1:10" x14ac:dyDescent="0.3">
      <c r="A41" s="4" t="s">
        <v>381</v>
      </c>
      <c r="B41" s="4" t="s">
        <v>381</v>
      </c>
      <c r="C41" s="15">
        <v>46275</v>
      </c>
      <c r="D41" s="4" t="s">
        <v>490</v>
      </c>
      <c r="E41" s="11">
        <v>24480</v>
      </c>
      <c r="F41" s="11">
        <v>24480</v>
      </c>
      <c r="G41" s="5">
        <f t="shared" si="1"/>
        <v>0</v>
      </c>
      <c r="H41" s="4" t="s">
        <v>463</v>
      </c>
      <c r="I41" s="4"/>
      <c r="J41" s="4"/>
    </row>
    <row r="42" spans="1:10" x14ac:dyDescent="0.3">
      <c r="A42" s="4" t="s">
        <v>357</v>
      </c>
      <c r="B42" s="4" t="s">
        <v>357</v>
      </c>
      <c r="C42" s="15">
        <v>46275</v>
      </c>
      <c r="D42" s="4" t="s">
        <v>492</v>
      </c>
      <c r="E42" s="11">
        <v>15434.5</v>
      </c>
      <c r="F42" s="11">
        <v>15434.5</v>
      </c>
      <c r="G42" s="5">
        <f t="shared" si="1"/>
        <v>0</v>
      </c>
      <c r="H42" s="4" t="s">
        <v>463</v>
      </c>
      <c r="I42" s="4"/>
      <c r="J42" s="4"/>
    </row>
    <row r="43" spans="1:10" x14ac:dyDescent="0.3">
      <c r="A43" s="4" t="s">
        <v>382</v>
      </c>
      <c r="B43" s="4" t="s">
        <v>382</v>
      </c>
      <c r="C43" s="15">
        <v>46274</v>
      </c>
      <c r="D43" s="4" t="s">
        <v>490</v>
      </c>
      <c r="E43" s="11">
        <v>31050</v>
      </c>
      <c r="F43" s="11">
        <v>31050</v>
      </c>
      <c r="G43" s="5">
        <f t="shared" si="1"/>
        <v>0</v>
      </c>
      <c r="H43" s="4" t="s">
        <v>463</v>
      </c>
      <c r="I43" s="4"/>
      <c r="J43" s="4"/>
    </row>
    <row r="44" spans="1:10" x14ac:dyDescent="0.3">
      <c r="A44" s="4" t="s">
        <v>383</v>
      </c>
      <c r="B44" s="4" t="s">
        <v>383</v>
      </c>
      <c r="C44" s="15">
        <v>46274</v>
      </c>
      <c r="D44" s="4" t="s">
        <v>490</v>
      </c>
      <c r="E44" s="11">
        <v>12320</v>
      </c>
      <c r="F44" s="11">
        <v>12320</v>
      </c>
      <c r="G44" s="5">
        <f t="shared" si="1"/>
        <v>0</v>
      </c>
      <c r="H44" s="4" t="s">
        <v>463</v>
      </c>
      <c r="I44" s="4"/>
      <c r="J44" s="4"/>
    </row>
    <row r="45" spans="1:10" x14ac:dyDescent="0.3">
      <c r="A45" s="4" t="s">
        <v>397</v>
      </c>
      <c r="B45" s="4" t="s">
        <v>397</v>
      </c>
      <c r="C45" s="15">
        <v>46265</v>
      </c>
      <c r="D45" s="4" t="s">
        <v>462</v>
      </c>
      <c r="E45" s="11">
        <v>1196</v>
      </c>
      <c r="F45" s="11">
        <v>1196</v>
      </c>
      <c r="G45" s="5">
        <f t="shared" si="1"/>
        <v>0</v>
      </c>
      <c r="H45" s="4" t="s">
        <v>463</v>
      </c>
      <c r="I45" s="4"/>
      <c r="J45" s="4"/>
    </row>
    <row r="46" spans="1:10" x14ac:dyDescent="0.3">
      <c r="A46" s="4" t="s">
        <v>179</v>
      </c>
      <c r="B46" s="4" t="s">
        <v>179</v>
      </c>
      <c r="C46" s="15">
        <v>46266</v>
      </c>
      <c r="D46" s="4" t="s">
        <v>493</v>
      </c>
      <c r="E46" s="11">
        <v>1500</v>
      </c>
      <c r="F46" s="11">
        <v>1457.73</v>
      </c>
      <c r="G46" s="5">
        <f t="shared" si="1"/>
        <v>42.269999999999982</v>
      </c>
      <c r="H46" s="4" t="s">
        <v>463</v>
      </c>
      <c r="I46" s="4"/>
      <c r="J46" s="4"/>
    </row>
    <row r="47" spans="1:10" x14ac:dyDescent="0.3">
      <c r="A47" s="4" t="s">
        <v>384</v>
      </c>
      <c r="B47" s="4" t="s">
        <v>384</v>
      </c>
      <c r="C47" s="15">
        <v>46274</v>
      </c>
      <c r="D47" s="4" t="s">
        <v>490</v>
      </c>
      <c r="E47" s="11">
        <v>18540</v>
      </c>
      <c r="F47" s="11">
        <v>18540</v>
      </c>
      <c r="G47" s="5">
        <f t="shared" si="1"/>
        <v>0</v>
      </c>
      <c r="H47" s="4" t="s">
        <v>463</v>
      </c>
      <c r="I47" s="4"/>
      <c r="J47" s="4"/>
    </row>
    <row r="48" spans="1:10" x14ac:dyDescent="0.3">
      <c r="A48" s="4" t="s">
        <v>431</v>
      </c>
      <c r="B48" s="4" t="s">
        <v>431</v>
      </c>
      <c r="C48" s="15">
        <v>46265</v>
      </c>
      <c r="D48" s="4" t="s">
        <v>494</v>
      </c>
      <c r="E48" s="11">
        <v>12298.92</v>
      </c>
      <c r="F48" s="11">
        <v>12298.92</v>
      </c>
      <c r="G48" s="5">
        <f t="shared" si="1"/>
        <v>0</v>
      </c>
      <c r="H48" s="4" t="s">
        <v>463</v>
      </c>
      <c r="I48" s="4"/>
      <c r="J48" s="4"/>
    </row>
    <row r="49" spans="1:10" x14ac:dyDescent="0.3">
      <c r="A49" s="4" t="s">
        <v>367</v>
      </c>
      <c r="B49" s="4" t="s">
        <v>367</v>
      </c>
      <c r="C49" s="15">
        <v>46268</v>
      </c>
      <c r="D49" s="4" t="s">
        <v>468</v>
      </c>
      <c r="E49" s="11">
        <v>166108.31</v>
      </c>
      <c r="F49" s="11">
        <v>166108.31</v>
      </c>
      <c r="G49" s="5">
        <f t="shared" si="1"/>
        <v>0</v>
      </c>
      <c r="H49" s="4" t="s">
        <v>463</v>
      </c>
      <c r="I49" s="4"/>
      <c r="J49" s="4"/>
    </row>
    <row r="50" spans="1:10" x14ac:dyDescent="0.3">
      <c r="A50" s="4" t="s">
        <v>157</v>
      </c>
      <c r="B50" s="4" t="s">
        <v>157</v>
      </c>
      <c r="C50" s="15">
        <v>46274</v>
      </c>
      <c r="D50" s="4" t="s">
        <v>495</v>
      </c>
      <c r="E50" s="11">
        <v>26070</v>
      </c>
      <c r="F50" s="11">
        <v>24903.37</v>
      </c>
      <c r="G50" s="5">
        <f t="shared" si="1"/>
        <v>1166.630000000001</v>
      </c>
      <c r="H50" s="4" t="s">
        <v>463</v>
      </c>
      <c r="I50" s="4"/>
      <c r="J50" s="4"/>
    </row>
    <row r="51" spans="1:10" x14ac:dyDescent="0.3">
      <c r="A51" s="4" t="s">
        <v>374</v>
      </c>
      <c r="B51" s="4" t="s">
        <v>374</v>
      </c>
      <c r="C51" s="15">
        <v>46265</v>
      </c>
      <c r="D51" s="4" t="s">
        <v>496</v>
      </c>
      <c r="E51" s="11">
        <v>3960</v>
      </c>
      <c r="F51" s="11">
        <v>3960</v>
      </c>
      <c r="G51" s="5">
        <f t="shared" si="1"/>
        <v>0</v>
      </c>
      <c r="H51" s="4" t="s">
        <v>463</v>
      </c>
      <c r="I51" s="4"/>
      <c r="J51" s="4"/>
    </row>
    <row r="52" spans="1:10" x14ac:dyDescent="0.3">
      <c r="A52" s="4" t="s">
        <v>343</v>
      </c>
      <c r="B52" s="4" t="s">
        <v>343</v>
      </c>
      <c r="C52" s="15">
        <v>46276</v>
      </c>
      <c r="D52" s="4" t="s">
        <v>497</v>
      </c>
      <c r="E52" s="11">
        <v>222321.21</v>
      </c>
      <c r="F52" s="11">
        <v>222321.21</v>
      </c>
      <c r="G52" s="5">
        <f t="shared" si="1"/>
        <v>0</v>
      </c>
      <c r="H52" s="4" t="s">
        <v>463</v>
      </c>
      <c r="I52" s="4"/>
      <c r="J52" s="4"/>
    </row>
    <row r="53" spans="1:10" x14ac:dyDescent="0.3">
      <c r="A53" s="4" t="s">
        <v>352</v>
      </c>
      <c r="B53" s="4" t="s">
        <v>352</v>
      </c>
      <c r="C53" s="15">
        <v>46275</v>
      </c>
      <c r="D53" s="4" t="s">
        <v>498</v>
      </c>
      <c r="E53" s="11">
        <v>66407.63</v>
      </c>
      <c r="F53" s="11">
        <v>58086.75</v>
      </c>
      <c r="G53" s="5">
        <f t="shared" si="1"/>
        <v>8320.8800000000047</v>
      </c>
      <c r="H53" s="4" t="s">
        <v>463</v>
      </c>
      <c r="I53" s="4"/>
      <c r="J53" s="4"/>
    </row>
    <row r="54" spans="1:10" x14ac:dyDescent="0.3">
      <c r="A54" s="4" t="s">
        <v>326</v>
      </c>
      <c r="B54" s="4" t="s">
        <v>326</v>
      </c>
      <c r="C54" s="15">
        <v>46275</v>
      </c>
      <c r="D54" s="4" t="s">
        <v>478</v>
      </c>
      <c r="E54" s="11">
        <v>3650</v>
      </c>
      <c r="F54" s="11">
        <v>3467.5</v>
      </c>
      <c r="G54" s="5">
        <f t="shared" si="1"/>
        <v>182.5</v>
      </c>
      <c r="H54" s="4" t="s">
        <v>463</v>
      </c>
      <c r="I54" s="4"/>
      <c r="J54" s="4"/>
    </row>
    <row r="55" spans="1:10" x14ac:dyDescent="0.3">
      <c r="A55" s="4" t="s">
        <v>404</v>
      </c>
      <c r="B55" s="4" t="s">
        <v>404</v>
      </c>
      <c r="C55" s="15">
        <v>46275</v>
      </c>
      <c r="D55" s="4" t="s">
        <v>499</v>
      </c>
      <c r="E55" s="11">
        <v>67600</v>
      </c>
      <c r="F55" s="11">
        <v>67600</v>
      </c>
      <c r="G55" s="5">
        <f t="shared" si="1"/>
        <v>0</v>
      </c>
      <c r="H55" s="4" t="s">
        <v>463</v>
      </c>
      <c r="I55" s="4"/>
      <c r="J55" s="4"/>
    </row>
    <row r="56" spans="1:10" x14ac:dyDescent="0.3">
      <c r="A56" s="4" t="s">
        <v>220</v>
      </c>
      <c r="B56" s="25" t="s">
        <v>402</v>
      </c>
      <c r="C56" s="15">
        <v>46274</v>
      </c>
      <c r="D56" s="4" t="s">
        <v>500</v>
      </c>
      <c r="E56" s="11">
        <v>9400</v>
      </c>
      <c r="F56" s="11">
        <v>8131</v>
      </c>
      <c r="G56" s="5">
        <f t="shared" si="1"/>
        <v>1269</v>
      </c>
      <c r="H56" s="4" t="s">
        <v>463</v>
      </c>
      <c r="I56" s="4"/>
      <c r="J56" s="4" t="s">
        <v>501</v>
      </c>
    </row>
    <row r="57" spans="1:10" x14ac:dyDescent="0.3">
      <c r="A57" s="4" t="s">
        <v>118</v>
      </c>
      <c r="B57" s="4" t="s">
        <v>118</v>
      </c>
      <c r="C57" s="15">
        <v>46280</v>
      </c>
      <c r="D57" s="4" t="s">
        <v>502</v>
      </c>
      <c r="E57" s="11">
        <v>11400</v>
      </c>
      <c r="F57" s="11">
        <v>11172.94</v>
      </c>
      <c r="G57" s="5">
        <f t="shared" si="1"/>
        <v>227.05999999999949</v>
      </c>
      <c r="H57" s="4" t="s">
        <v>463</v>
      </c>
      <c r="I57" s="4"/>
      <c r="J57" s="4"/>
    </row>
    <row r="58" spans="1:10" x14ac:dyDescent="0.3">
      <c r="A58" s="4" t="s">
        <v>443</v>
      </c>
      <c r="B58" s="4" t="s">
        <v>443</v>
      </c>
      <c r="C58" s="15">
        <v>46276</v>
      </c>
      <c r="D58" s="4" t="s">
        <v>469</v>
      </c>
      <c r="E58" s="11">
        <v>548347.68999999994</v>
      </c>
      <c r="F58" s="11">
        <v>520930.31</v>
      </c>
      <c r="G58" s="5">
        <f t="shared" si="1"/>
        <v>27417.379999999946</v>
      </c>
      <c r="H58" s="4" t="s">
        <v>463</v>
      </c>
      <c r="I58" s="4"/>
      <c r="J58" s="4"/>
    </row>
    <row r="59" spans="1:10" x14ac:dyDescent="0.3">
      <c r="A59" s="4" t="s">
        <v>435</v>
      </c>
      <c r="B59" s="4" t="s">
        <v>435</v>
      </c>
      <c r="C59" s="15">
        <v>46279</v>
      </c>
      <c r="D59" s="4" t="s">
        <v>476</v>
      </c>
      <c r="E59" s="11">
        <v>2226</v>
      </c>
      <c r="F59" s="11">
        <v>2226</v>
      </c>
      <c r="G59" s="5">
        <f t="shared" si="1"/>
        <v>0</v>
      </c>
      <c r="H59" s="4" t="s">
        <v>463</v>
      </c>
      <c r="I59" s="4"/>
      <c r="J59" s="4"/>
    </row>
    <row r="60" spans="1:10" x14ac:dyDescent="0.3">
      <c r="A60" s="4" t="s">
        <v>376</v>
      </c>
      <c r="B60" s="4" t="s">
        <v>376</v>
      </c>
      <c r="C60" s="15">
        <v>46280</v>
      </c>
      <c r="D60" s="4" t="s">
        <v>503</v>
      </c>
      <c r="E60" s="11">
        <v>3430</v>
      </c>
      <c r="F60" s="11">
        <v>3430</v>
      </c>
      <c r="G60" s="5">
        <f t="shared" si="1"/>
        <v>0</v>
      </c>
      <c r="H60" s="4" t="s">
        <v>463</v>
      </c>
      <c r="I60" s="4"/>
      <c r="J60" s="4"/>
    </row>
    <row r="61" spans="1:10" x14ac:dyDescent="0.3">
      <c r="A61" s="4" t="s">
        <v>385</v>
      </c>
      <c r="B61" s="4" t="s">
        <v>385</v>
      </c>
      <c r="C61" s="15">
        <v>46275</v>
      </c>
      <c r="D61" s="4" t="s">
        <v>490</v>
      </c>
      <c r="E61" s="11">
        <v>31600</v>
      </c>
      <c r="F61" s="11">
        <v>31600</v>
      </c>
      <c r="G61" s="5">
        <f t="shared" si="1"/>
        <v>0</v>
      </c>
      <c r="H61" s="4" t="s">
        <v>463</v>
      </c>
      <c r="I61" s="4"/>
      <c r="J61" s="4"/>
    </row>
    <row r="62" spans="1:10" x14ac:dyDescent="0.3">
      <c r="A62" s="4" t="s">
        <v>410</v>
      </c>
      <c r="B62" s="4" t="s">
        <v>410</v>
      </c>
      <c r="C62" s="15">
        <v>46274</v>
      </c>
      <c r="D62" s="4" t="s">
        <v>489</v>
      </c>
      <c r="E62" s="11">
        <v>32750</v>
      </c>
      <c r="F62" s="11">
        <v>32750</v>
      </c>
      <c r="G62" s="5">
        <f t="shared" si="1"/>
        <v>0</v>
      </c>
      <c r="H62" s="4" t="s">
        <v>463</v>
      </c>
      <c r="I62" s="4"/>
      <c r="J62" s="4"/>
    </row>
    <row r="63" spans="1:10" x14ac:dyDescent="0.3">
      <c r="A63" s="4" t="s">
        <v>504</v>
      </c>
      <c r="B63" s="25" t="s">
        <v>328</v>
      </c>
      <c r="C63" s="15">
        <v>46275</v>
      </c>
      <c r="D63" s="4" t="s">
        <v>505</v>
      </c>
      <c r="E63" s="11">
        <v>2227</v>
      </c>
      <c r="F63" s="11">
        <v>2227</v>
      </c>
      <c r="G63" s="5">
        <f t="shared" si="1"/>
        <v>0</v>
      </c>
      <c r="H63" s="4" t="s">
        <v>463</v>
      </c>
      <c r="I63" s="4"/>
      <c r="J63" s="4" t="s">
        <v>506</v>
      </c>
    </row>
    <row r="64" spans="1:10" x14ac:dyDescent="0.3">
      <c r="A64" s="4" t="s">
        <v>329</v>
      </c>
      <c r="B64" s="4" t="s">
        <v>329</v>
      </c>
      <c r="C64" s="15">
        <v>46275</v>
      </c>
      <c r="D64" s="4" t="s">
        <v>505</v>
      </c>
      <c r="E64" s="11">
        <v>4073</v>
      </c>
      <c r="F64" s="11">
        <v>3639.23</v>
      </c>
      <c r="G64" s="5">
        <f t="shared" si="1"/>
        <v>433.77</v>
      </c>
      <c r="H64" s="4" t="s">
        <v>463</v>
      </c>
      <c r="I64" s="4"/>
      <c r="J64" s="4"/>
    </row>
    <row r="65" spans="1:10" x14ac:dyDescent="0.3">
      <c r="A65" s="4" t="s">
        <v>372</v>
      </c>
      <c r="B65" s="4" t="s">
        <v>372</v>
      </c>
      <c r="C65" s="15">
        <v>46275</v>
      </c>
      <c r="D65" s="4" t="s">
        <v>466</v>
      </c>
      <c r="E65" s="11">
        <v>700</v>
      </c>
      <c r="F65" s="11">
        <v>700</v>
      </c>
      <c r="G65" s="5">
        <f t="shared" si="1"/>
        <v>0</v>
      </c>
      <c r="H65" s="4" t="s">
        <v>463</v>
      </c>
      <c r="I65" s="4"/>
      <c r="J65" s="4"/>
    </row>
    <row r="66" spans="1:10" x14ac:dyDescent="0.3">
      <c r="A66" s="4" t="s">
        <v>368</v>
      </c>
      <c r="B66" s="4" t="s">
        <v>368</v>
      </c>
      <c r="C66" s="15">
        <v>46275</v>
      </c>
      <c r="D66" s="4" t="s">
        <v>468</v>
      </c>
      <c r="E66" s="11">
        <v>49296.08</v>
      </c>
      <c r="F66" s="11">
        <v>49296.08</v>
      </c>
      <c r="G66" s="5">
        <f t="shared" si="1"/>
        <v>0</v>
      </c>
      <c r="H66" s="4" t="s">
        <v>463</v>
      </c>
      <c r="I66" s="4"/>
      <c r="J66" s="4"/>
    </row>
    <row r="67" spans="1:10" x14ac:dyDescent="0.3">
      <c r="A67" s="4" t="s">
        <v>369</v>
      </c>
      <c r="B67" s="4" t="s">
        <v>369</v>
      </c>
      <c r="C67" s="15">
        <v>46275</v>
      </c>
      <c r="D67" s="4" t="s">
        <v>468</v>
      </c>
      <c r="E67" s="11">
        <v>103817.7</v>
      </c>
      <c r="F67" s="11">
        <v>103817.7</v>
      </c>
      <c r="G67" s="5">
        <f t="shared" si="1"/>
        <v>0</v>
      </c>
      <c r="H67" s="4" t="s">
        <v>463</v>
      </c>
      <c r="I67" s="4"/>
      <c r="J67" s="4"/>
    </row>
    <row r="68" spans="1:10" x14ac:dyDescent="0.3">
      <c r="A68" s="4" t="s">
        <v>370</v>
      </c>
      <c r="B68" s="4" t="s">
        <v>370</v>
      </c>
      <c r="C68" s="15">
        <v>46275</v>
      </c>
      <c r="D68" s="4" t="s">
        <v>468</v>
      </c>
      <c r="E68" s="11">
        <v>103817.69</v>
      </c>
      <c r="F68" s="11">
        <v>103817.69</v>
      </c>
      <c r="G68" s="5">
        <f t="shared" si="1"/>
        <v>0</v>
      </c>
      <c r="H68" s="4" t="s">
        <v>463</v>
      </c>
      <c r="I68" s="4"/>
      <c r="J68" s="4"/>
    </row>
    <row r="69" spans="1:10" x14ac:dyDescent="0.3">
      <c r="A69" s="4" t="s">
        <v>419</v>
      </c>
      <c r="B69" s="4" t="s">
        <v>419</v>
      </c>
      <c r="C69" s="15">
        <v>46288</v>
      </c>
      <c r="D69" s="4" t="s">
        <v>507</v>
      </c>
      <c r="E69" s="11">
        <v>1691.15</v>
      </c>
      <c r="F69" s="11">
        <v>1691.15</v>
      </c>
      <c r="G69" s="5">
        <f t="shared" ref="G69:G90" si="2">E69-F69</f>
        <v>0</v>
      </c>
      <c r="H69" s="4" t="s">
        <v>463</v>
      </c>
      <c r="I69" s="4"/>
      <c r="J69" s="4"/>
    </row>
    <row r="70" spans="1:10" x14ac:dyDescent="0.3">
      <c r="A70" s="4" t="s">
        <v>508</v>
      </c>
      <c r="B70" s="25" t="s">
        <v>420</v>
      </c>
      <c r="C70" s="26">
        <v>46288</v>
      </c>
      <c r="D70" s="4" t="s">
        <v>507</v>
      </c>
      <c r="E70" s="11">
        <v>1828.23</v>
      </c>
      <c r="F70" s="11">
        <v>1828.23</v>
      </c>
      <c r="G70" s="5">
        <f t="shared" si="2"/>
        <v>0</v>
      </c>
      <c r="H70" s="4" t="s">
        <v>463</v>
      </c>
      <c r="I70" s="4"/>
      <c r="J70" s="4" t="s">
        <v>509</v>
      </c>
    </row>
    <row r="71" spans="1:10" x14ac:dyDescent="0.3">
      <c r="A71" s="4" t="s">
        <v>421</v>
      </c>
      <c r="B71" s="4" t="s">
        <v>421</v>
      </c>
      <c r="C71" s="26">
        <v>46288</v>
      </c>
      <c r="D71" s="4" t="s">
        <v>507</v>
      </c>
      <c r="E71" s="11">
        <v>1835.68</v>
      </c>
      <c r="F71" s="11">
        <v>1835.68</v>
      </c>
      <c r="G71" s="5">
        <f t="shared" si="2"/>
        <v>0</v>
      </c>
      <c r="H71" s="4" t="s">
        <v>463</v>
      </c>
      <c r="I71" s="4"/>
      <c r="J71" s="4" t="s">
        <v>510</v>
      </c>
    </row>
    <row r="72" spans="1:10" x14ac:dyDescent="0.3">
      <c r="A72" s="4" t="s">
        <v>422</v>
      </c>
      <c r="B72" s="4" t="s">
        <v>422</v>
      </c>
      <c r="C72" s="15">
        <v>46288</v>
      </c>
      <c r="D72" s="4" t="s">
        <v>507</v>
      </c>
      <c r="E72" s="11">
        <v>2002.45</v>
      </c>
      <c r="F72" s="11">
        <v>2002.45</v>
      </c>
      <c r="G72" s="5">
        <f t="shared" si="2"/>
        <v>0</v>
      </c>
      <c r="H72" s="4" t="s">
        <v>463</v>
      </c>
      <c r="I72" s="4"/>
      <c r="J72" s="4"/>
    </row>
    <row r="73" spans="1:10" x14ac:dyDescent="0.3">
      <c r="A73" s="4" t="s">
        <v>423</v>
      </c>
      <c r="B73" s="4" t="s">
        <v>423</v>
      </c>
      <c r="C73" s="15">
        <v>46288</v>
      </c>
      <c r="D73" s="4" t="s">
        <v>507</v>
      </c>
      <c r="E73" s="11">
        <v>2235</v>
      </c>
      <c r="F73" s="11">
        <v>2235</v>
      </c>
      <c r="G73" s="5">
        <f t="shared" si="2"/>
        <v>0</v>
      </c>
      <c r="H73" s="4" t="s">
        <v>463</v>
      </c>
      <c r="I73" s="4"/>
      <c r="J73" s="4"/>
    </row>
    <row r="74" spans="1:10" x14ac:dyDescent="0.3">
      <c r="A74" s="4" t="s">
        <v>398</v>
      </c>
      <c r="B74" s="4" t="s">
        <v>398</v>
      </c>
      <c r="C74" s="15">
        <v>46286</v>
      </c>
      <c r="D74" s="4" t="s">
        <v>462</v>
      </c>
      <c r="E74" s="11">
        <v>560</v>
      </c>
      <c r="F74" s="11">
        <v>560</v>
      </c>
      <c r="G74" s="5">
        <f t="shared" si="2"/>
        <v>0</v>
      </c>
      <c r="H74" s="4" t="s">
        <v>463</v>
      </c>
      <c r="I74" s="4"/>
      <c r="J74" s="4"/>
    </row>
    <row r="75" spans="1:10" x14ac:dyDescent="0.3">
      <c r="A75" s="4" t="s">
        <v>377</v>
      </c>
      <c r="B75" s="4" t="s">
        <v>377</v>
      </c>
      <c r="C75" s="15">
        <v>46274</v>
      </c>
      <c r="D75" s="4" t="s">
        <v>503</v>
      </c>
      <c r="E75" s="11">
        <v>4515.62</v>
      </c>
      <c r="F75" s="11">
        <v>4515.62</v>
      </c>
      <c r="G75" s="5">
        <f t="shared" si="2"/>
        <v>0</v>
      </c>
      <c r="H75" s="4" t="s">
        <v>463</v>
      </c>
      <c r="I75" s="4"/>
      <c r="J75" s="4"/>
    </row>
    <row r="76" spans="1:10" x14ac:dyDescent="0.3">
      <c r="A76" s="4" t="s">
        <v>323</v>
      </c>
      <c r="B76" s="4" t="s">
        <v>323</v>
      </c>
      <c r="C76" s="15">
        <v>46275</v>
      </c>
      <c r="D76" s="4" t="s">
        <v>511</v>
      </c>
      <c r="E76" s="11">
        <v>2462.6</v>
      </c>
      <c r="F76" s="11">
        <v>2462.6</v>
      </c>
      <c r="G76" s="5">
        <f t="shared" si="2"/>
        <v>0</v>
      </c>
      <c r="H76" s="4" t="s">
        <v>463</v>
      </c>
      <c r="I76" s="4"/>
      <c r="J76" s="4"/>
    </row>
    <row r="77" spans="1:10" x14ac:dyDescent="0.3">
      <c r="A77" s="4" t="s">
        <v>450</v>
      </c>
      <c r="B77" s="4" t="s">
        <v>450</v>
      </c>
      <c r="C77" s="15">
        <v>46275</v>
      </c>
      <c r="D77" s="4" t="s">
        <v>465</v>
      </c>
      <c r="E77" s="11">
        <v>8015.46</v>
      </c>
      <c r="F77" s="11">
        <v>8015.46</v>
      </c>
      <c r="G77" s="5">
        <f t="shared" si="2"/>
        <v>0</v>
      </c>
      <c r="H77" s="4" t="s">
        <v>463</v>
      </c>
      <c r="I77" s="4"/>
      <c r="J77" s="4"/>
    </row>
    <row r="78" spans="1:10" x14ac:dyDescent="0.3">
      <c r="A78" s="4" t="s">
        <v>414</v>
      </c>
      <c r="B78" s="4" t="s">
        <v>414</v>
      </c>
      <c r="C78" s="15">
        <v>46280</v>
      </c>
      <c r="D78" s="4" t="s">
        <v>507</v>
      </c>
      <c r="E78" s="11">
        <v>1826.74</v>
      </c>
      <c r="F78" s="11">
        <v>1826.74</v>
      </c>
      <c r="G78" s="5">
        <f t="shared" si="2"/>
        <v>0</v>
      </c>
      <c r="H78" s="4" t="s">
        <v>463</v>
      </c>
      <c r="I78" s="4"/>
      <c r="J78" s="4"/>
    </row>
    <row r="79" spans="1:10" x14ac:dyDescent="0.3">
      <c r="A79" s="4" t="s">
        <v>415</v>
      </c>
      <c r="B79" s="4" t="s">
        <v>415</v>
      </c>
      <c r="C79" s="15">
        <v>46280</v>
      </c>
      <c r="D79" s="4" t="s">
        <v>507</v>
      </c>
      <c r="E79" s="11">
        <v>1929.55</v>
      </c>
      <c r="F79" s="11">
        <v>1929.55</v>
      </c>
      <c r="G79" s="5">
        <f t="shared" si="2"/>
        <v>0</v>
      </c>
      <c r="H79" s="4" t="s">
        <v>463</v>
      </c>
      <c r="I79" s="4"/>
      <c r="J79" s="4"/>
    </row>
    <row r="80" spans="1:10" x14ac:dyDescent="0.3">
      <c r="A80" s="4" t="s">
        <v>445</v>
      </c>
      <c r="B80" s="4" t="s">
        <v>445</v>
      </c>
      <c r="C80" s="15">
        <v>46286</v>
      </c>
      <c r="D80" s="4" t="s">
        <v>512</v>
      </c>
      <c r="E80" s="11">
        <v>583.48</v>
      </c>
      <c r="F80" s="11">
        <v>583.48</v>
      </c>
      <c r="G80" s="5">
        <f t="shared" si="2"/>
        <v>0</v>
      </c>
      <c r="H80" s="4" t="s">
        <v>463</v>
      </c>
      <c r="I80" s="4"/>
      <c r="J80" s="4"/>
    </row>
    <row r="81" spans="1:10" x14ac:dyDescent="0.3">
      <c r="A81" s="4" t="s">
        <v>446</v>
      </c>
      <c r="B81" s="4" t="s">
        <v>446</v>
      </c>
      <c r="C81" s="15">
        <v>46286</v>
      </c>
      <c r="D81" s="4" t="s">
        <v>512</v>
      </c>
      <c r="E81" s="11">
        <v>583.48</v>
      </c>
      <c r="F81" s="11">
        <v>583.48</v>
      </c>
      <c r="G81" s="5">
        <f t="shared" si="2"/>
        <v>0</v>
      </c>
      <c r="H81" s="4" t="s">
        <v>463</v>
      </c>
      <c r="I81" s="4"/>
      <c r="J81" s="4"/>
    </row>
    <row r="82" spans="1:10" x14ac:dyDescent="0.3">
      <c r="A82" s="4" t="s">
        <v>447</v>
      </c>
      <c r="B82" s="4" t="s">
        <v>447</v>
      </c>
      <c r="C82" s="15">
        <v>46286</v>
      </c>
      <c r="D82" s="4" t="s">
        <v>512</v>
      </c>
      <c r="E82" s="11">
        <v>1320</v>
      </c>
      <c r="F82" s="11">
        <v>1320</v>
      </c>
      <c r="G82" s="5">
        <f t="shared" si="2"/>
        <v>0</v>
      </c>
      <c r="H82" s="4" t="s">
        <v>463</v>
      </c>
      <c r="I82" s="4"/>
      <c r="J82" s="4"/>
    </row>
    <row r="83" spans="1:10" x14ac:dyDescent="0.3">
      <c r="A83" s="4" t="s">
        <v>416</v>
      </c>
      <c r="B83" s="4" t="s">
        <v>416</v>
      </c>
      <c r="C83" s="15">
        <v>46280</v>
      </c>
      <c r="D83" s="4" t="s">
        <v>507</v>
      </c>
      <c r="E83" s="11">
        <v>2118.4499999999998</v>
      </c>
      <c r="F83" s="11">
        <v>2118.4499999999998</v>
      </c>
      <c r="G83" s="5">
        <f t="shared" si="2"/>
        <v>0</v>
      </c>
      <c r="H83" s="4" t="s">
        <v>463</v>
      </c>
      <c r="I83" s="4"/>
      <c r="J83" s="4"/>
    </row>
    <row r="84" spans="1:10" x14ac:dyDescent="0.3">
      <c r="A84" s="4" t="s">
        <v>417</v>
      </c>
      <c r="B84" s="4" t="s">
        <v>417</v>
      </c>
      <c r="C84" s="15">
        <v>46280</v>
      </c>
      <c r="D84" s="4" t="s">
        <v>507</v>
      </c>
      <c r="E84" s="11">
        <v>1904.22</v>
      </c>
      <c r="F84" s="11">
        <v>1904.22</v>
      </c>
      <c r="G84" s="5">
        <f t="shared" si="2"/>
        <v>0</v>
      </c>
      <c r="H84" s="4" t="s">
        <v>463</v>
      </c>
      <c r="I84" s="4"/>
      <c r="J84" s="4"/>
    </row>
    <row r="85" spans="1:10" x14ac:dyDescent="0.3">
      <c r="A85" s="4" t="s">
        <v>344</v>
      </c>
      <c r="B85" s="4" t="s">
        <v>344</v>
      </c>
      <c r="C85" s="15">
        <v>46289</v>
      </c>
      <c r="D85" s="4" t="s">
        <v>497</v>
      </c>
      <c r="E85" s="11">
        <v>225614.56</v>
      </c>
      <c r="F85" s="11">
        <v>225614.56</v>
      </c>
      <c r="G85" s="5">
        <f t="shared" si="2"/>
        <v>0</v>
      </c>
      <c r="H85" s="4" t="s">
        <v>463</v>
      </c>
      <c r="I85" s="4"/>
      <c r="J85" s="4"/>
    </row>
    <row r="86" spans="1:10" x14ac:dyDescent="0.3">
      <c r="A86" s="4" t="s">
        <v>406</v>
      </c>
      <c r="B86" s="4" t="s">
        <v>406</v>
      </c>
      <c r="C86" s="15">
        <v>46286</v>
      </c>
      <c r="D86" s="4" t="s">
        <v>499</v>
      </c>
      <c r="E86" s="11">
        <v>57860.4</v>
      </c>
      <c r="F86" s="11">
        <v>57860.4</v>
      </c>
      <c r="G86" s="5">
        <f t="shared" si="2"/>
        <v>0</v>
      </c>
      <c r="H86" s="4" t="s">
        <v>463</v>
      </c>
      <c r="I86" s="4"/>
      <c r="J86" s="4"/>
    </row>
    <row r="87" spans="1:10" x14ac:dyDescent="0.3">
      <c r="A87" s="4" t="s">
        <v>428</v>
      </c>
      <c r="B87" s="4" t="s">
        <v>428</v>
      </c>
      <c r="C87" s="15">
        <v>46283</v>
      </c>
      <c r="D87" s="4" t="s">
        <v>513</v>
      </c>
      <c r="E87" s="11">
        <v>109865.42</v>
      </c>
      <c r="F87" s="11">
        <v>97615.43</v>
      </c>
      <c r="G87" s="5">
        <f t="shared" si="2"/>
        <v>12249.990000000005</v>
      </c>
      <c r="H87" s="4" t="s">
        <v>463</v>
      </c>
      <c r="I87" s="4"/>
      <c r="J87" s="4"/>
    </row>
    <row r="88" spans="1:10" x14ac:dyDescent="0.3">
      <c r="A88" s="4" t="s">
        <v>389</v>
      </c>
      <c r="B88" s="4" t="s">
        <v>389</v>
      </c>
      <c r="C88" s="15">
        <v>46287</v>
      </c>
      <c r="D88" s="4" t="s">
        <v>514</v>
      </c>
      <c r="E88" s="11">
        <v>3000</v>
      </c>
      <c r="F88" s="11">
        <v>3000</v>
      </c>
      <c r="G88" s="5">
        <f t="shared" si="2"/>
        <v>0</v>
      </c>
      <c r="H88" s="4" t="s">
        <v>463</v>
      </c>
      <c r="I88" s="4"/>
      <c r="J88" s="4"/>
    </row>
    <row r="89" spans="1:10" x14ac:dyDescent="0.3">
      <c r="A89" s="4" t="s">
        <v>387</v>
      </c>
      <c r="B89" s="4" t="s">
        <v>387</v>
      </c>
      <c r="C89" s="15">
        <v>46287</v>
      </c>
      <c r="D89" s="4" t="s">
        <v>515</v>
      </c>
      <c r="E89" s="11">
        <v>4920</v>
      </c>
      <c r="F89" s="11">
        <v>4920</v>
      </c>
      <c r="G89" s="5">
        <f t="shared" si="2"/>
        <v>0</v>
      </c>
      <c r="H89" s="4" t="s">
        <v>463</v>
      </c>
      <c r="I89" s="4"/>
      <c r="J89" s="4"/>
    </row>
    <row r="90" spans="1:10" x14ac:dyDescent="0.3">
      <c r="A90" s="4" t="s">
        <v>426</v>
      </c>
      <c r="B90" s="4" t="s">
        <v>426</v>
      </c>
      <c r="C90" s="15">
        <v>46293</v>
      </c>
      <c r="D90" s="4" t="s">
        <v>473</v>
      </c>
      <c r="E90" s="11">
        <v>247097.75</v>
      </c>
      <c r="F90" s="11">
        <v>226094.44</v>
      </c>
      <c r="G90" s="5">
        <f t="shared" si="2"/>
        <v>21003.309999999998</v>
      </c>
      <c r="H90" s="4" t="s">
        <v>463</v>
      </c>
      <c r="I90" s="4"/>
      <c r="J90" s="4"/>
    </row>
    <row r="91" spans="1:10" x14ac:dyDescent="0.3">
      <c r="D91" s="16" t="s">
        <v>282</v>
      </c>
      <c r="E91" s="17">
        <f>SUM(E5:E90)</f>
        <v>3523877.6400000006</v>
      </c>
      <c r="F91" s="17">
        <f>SUM(F5:F90)</f>
        <v>3427124.2000000007</v>
      </c>
      <c r="G91" s="17">
        <f>SUM(G5:G90)</f>
        <v>96753.439999999959</v>
      </c>
    </row>
  </sheetData>
  <autoFilter ref="A4:J90" xr:uid="{00000000-0009-0000-0000-000004000000}"/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96"/>
  <sheetViews>
    <sheetView showGridLines="0" zoomScale="70" zoomScaleNormal="70" workbookViewId="0">
      <pane xSplit="2" ySplit="4" topLeftCell="C77" activePane="bottomRight" state="frozen"/>
      <selection pane="topRight" activeCell="C1" sqref="C1"/>
      <selection pane="bottomLeft" activeCell="A5" sqref="A5"/>
      <selection pane="bottomRight" activeCell="N9" sqref="N9"/>
    </sheetView>
  </sheetViews>
  <sheetFormatPr defaultColWidth="8.6640625" defaultRowHeight="14.4" x14ac:dyDescent="0.3"/>
  <cols>
    <col min="1" max="1" width="10" customWidth="1"/>
    <col min="2" max="2" width="44.77734375" customWidth="1"/>
    <col min="3" max="3" width="49.109375" customWidth="1"/>
    <col min="4" max="5" width="14" customWidth="1"/>
    <col min="6" max="6" width="12" customWidth="1"/>
    <col min="7" max="8" width="14" customWidth="1"/>
    <col min="9" max="12" width="12" customWidth="1"/>
    <col min="13" max="13" width="15" customWidth="1"/>
    <col min="14" max="14" width="60" customWidth="1"/>
  </cols>
  <sheetData>
    <row r="1" spans="1:14" ht="17.399999999999999" x14ac:dyDescent="0.3">
      <c r="A1" s="1" t="s">
        <v>516</v>
      </c>
    </row>
    <row r="2" spans="1:14" ht="15" hidden="1" customHeight="1" x14ac:dyDescent="0.3">
      <c r="A2" s="2" t="s">
        <v>517</v>
      </c>
    </row>
    <row r="4" spans="1:14" ht="30" customHeight="1" x14ac:dyDescent="0.3">
      <c r="A4" s="14" t="s">
        <v>518</v>
      </c>
      <c r="B4" s="14" t="s">
        <v>519</v>
      </c>
      <c r="C4" s="14" t="s">
        <v>520</v>
      </c>
      <c r="D4" s="14" t="s">
        <v>521</v>
      </c>
      <c r="E4" s="14" t="s">
        <v>287</v>
      </c>
      <c r="F4" s="14" t="s">
        <v>522</v>
      </c>
      <c r="G4" s="14" t="s">
        <v>523</v>
      </c>
      <c r="H4" s="14" t="s">
        <v>524</v>
      </c>
      <c r="I4" s="14" t="s">
        <v>525</v>
      </c>
      <c r="J4" s="14" t="s">
        <v>526</v>
      </c>
      <c r="K4" s="14" t="s">
        <v>527</v>
      </c>
      <c r="L4" s="14" t="s">
        <v>528</v>
      </c>
      <c r="M4" s="14" t="s">
        <v>295</v>
      </c>
      <c r="N4" s="14" t="s">
        <v>529</v>
      </c>
    </row>
    <row r="5" spans="1:14" x14ac:dyDescent="0.3">
      <c r="A5" s="27" t="str">
        <f>Conciliacao!B5</f>
        <v>81195</v>
      </c>
      <c r="B5" s="27" t="str">
        <f>Conciliacao!D5</f>
        <v>MULTI MAQUINAS</v>
      </c>
      <c r="C5" s="28" t="str">
        <f>IFERROR(INDEX(CP_Setembro!$C$5:$C$126,MATCH("F|"&amp;A5,CP_Setembro!$A$5:$A$126,0)),"NÃO ENCONTRADA")</f>
        <v>MULTIMAQUINAS LOCACAO DE MAQUINAS E EQUIPAMENTOS LTDA</v>
      </c>
      <c r="D5" s="29">
        <f>Conciliacao!E5</f>
        <v>1356</v>
      </c>
      <c r="E5" s="30">
        <f>IFERROR(INDEX(CP_Setembro!$I$5:$I$126,MATCH("F|"&amp;A5,CP_Setembro!$A$5:$A$126,0)),0)</f>
        <v>1356</v>
      </c>
      <c r="F5" s="30">
        <f t="shared" ref="F5:F36" si="0">D5-E5</f>
        <v>0</v>
      </c>
      <c r="G5" s="29">
        <f>Conciliacao!F5</f>
        <v>1356</v>
      </c>
      <c r="H5" s="30">
        <f>IFERROR(INDEX(CP_Setembro!$M$5:$M$126,MATCH("F|"&amp;A5,CP_Setembro!$A$5:$A$126,0)),0)</f>
        <v>1356</v>
      </c>
      <c r="I5" s="30">
        <f t="shared" ref="I5:I36" si="1">G5-H5</f>
        <v>0</v>
      </c>
      <c r="J5" s="30">
        <f>IFERROR(INDEX(CP_Setembro!$K$5:$K$126,MATCH("F|"&amp;A5,CP_Setembro!$A$5:$A$126,0)),0)</f>
        <v>0</v>
      </c>
      <c r="K5" s="30">
        <f>IFERROR(INDEX(CP_Setembro!$L$5:$L$126,MATCH("F|"&amp;A5,CP_Setembro!$A$5:$A$126,0)),0)</f>
        <v>0</v>
      </c>
      <c r="L5" s="30">
        <f>IFERROR(INDEX(CP_Setembro!$J$5:$J$126,MATCH("F|"&amp;A5,CP_Setembro!$A$5:$A$126,0)),0)</f>
        <v>0</v>
      </c>
      <c r="M5" s="28" t="str">
        <f t="shared" ref="M5:M36" si="2">IF(C5="NÃO ENCONTRADA","NÃO ENCONTRADA",IF(AND(ABS(F5)&lt;0.005,ABS(I5)&lt;0.005),"OK","DIVERGE"))</f>
        <v>OK</v>
      </c>
      <c r="N5" s="28"/>
    </row>
    <row r="6" spans="1:14" x14ac:dyDescent="0.3">
      <c r="A6" s="27" t="str">
        <f>Conciliacao!B6</f>
        <v>308979</v>
      </c>
      <c r="B6" s="27" t="str">
        <f>Conciliacao!D6</f>
        <v>FIOCAMP COMERCIO</v>
      </c>
      <c r="C6" s="28" t="str">
        <f>IFERROR(INDEX(CP_Setembro!$C$5:$C$126,MATCH("F|"&amp;A6,CP_Setembro!$A$5:$A$126,0)),"NÃO ENCONTRADA")</f>
        <v>FIOCAMP COMERCIO DE MATERIAIS ELETRICOS LTDA</v>
      </c>
      <c r="D6" s="29">
        <f>Conciliacao!E6</f>
        <v>1851.9</v>
      </c>
      <c r="E6" s="30">
        <f>IFERROR(INDEX(CP_Setembro!$I$5:$I$126,MATCH("F|"&amp;A6,CP_Setembro!$A$5:$A$126,0)),0)</f>
        <v>1851.9</v>
      </c>
      <c r="F6" s="30">
        <f t="shared" si="0"/>
        <v>0</v>
      </c>
      <c r="G6" s="29">
        <f>Conciliacao!F6</f>
        <v>1851.9</v>
      </c>
      <c r="H6" s="30">
        <f>IFERROR(INDEX(CP_Setembro!$M$5:$M$126,MATCH("F|"&amp;A6,CP_Setembro!$A$5:$A$126,0)),0)</f>
        <v>1851.9</v>
      </c>
      <c r="I6" s="30">
        <f t="shared" si="1"/>
        <v>0</v>
      </c>
      <c r="J6" s="30">
        <f>IFERROR(INDEX(CP_Setembro!$K$5:$K$126,MATCH("F|"&amp;A6,CP_Setembro!$A$5:$A$126,0)),0)</f>
        <v>0</v>
      </c>
      <c r="K6" s="30">
        <f>IFERROR(INDEX(CP_Setembro!$L$5:$L$126,MATCH("F|"&amp;A6,CP_Setembro!$A$5:$A$126,0)),0)</f>
        <v>0</v>
      </c>
      <c r="L6" s="30">
        <f>IFERROR(INDEX(CP_Setembro!$J$5:$J$126,MATCH("F|"&amp;A6,CP_Setembro!$A$5:$A$126,0)),0)</f>
        <v>0</v>
      </c>
      <c r="M6" s="28" t="str">
        <f t="shared" si="2"/>
        <v>OK</v>
      </c>
      <c r="N6" s="28"/>
    </row>
    <row r="7" spans="1:14" x14ac:dyDescent="0.3">
      <c r="A7" s="27" t="str">
        <f>Conciliacao!B7</f>
        <v>169405</v>
      </c>
      <c r="B7" s="27" t="str">
        <f>Conciliacao!D7</f>
        <v>ZAP IND COM DE EQUIPAMENTOS</v>
      </c>
      <c r="C7" s="28" t="str">
        <f>IFERROR(INDEX(CP_Setembro!$C$5:$C$126,MATCH("F|"&amp;A7,CP_Setembro!$A$5:$A$126,0)),"NÃO ENCONTRADA")</f>
        <v>ZAP IND COM DE EQUIPAMENTOS PARA CONSTRUCAO LTDA</v>
      </c>
      <c r="D7" s="29">
        <f>Conciliacao!E7</f>
        <v>3230</v>
      </c>
      <c r="E7" s="30">
        <f>IFERROR(INDEX(CP_Setembro!$I$5:$I$126,MATCH("F|"&amp;A7,CP_Setembro!$A$5:$A$126,0)),0)</f>
        <v>3230</v>
      </c>
      <c r="F7" s="30">
        <f t="shared" si="0"/>
        <v>0</v>
      </c>
      <c r="G7" s="29">
        <f>Conciliacao!F7</f>
        <v>3230</v>
      </c>
      <c r="H7" s="30">
        <f>IFERROR(INDEX(CP_Setembro!$M$5:$M$126,MATCH("F|"&amp;A7,CP_Setembro!$A$5:$A$126,0)),0)</f>
        <v>3230</v>
      </c>
      <c r="I7" s="30">
        <f t="shared" si="1"/>
        <v>0</v>
      </c>
      <c r="J7" s="30">
        <f>IFERROR(INDEX(CP_Setembro!$K$5:$K$126,MATCH("F|"&amp;A7,CP_Setembro!$A$5:$A$126,0)),0)</f>
        <v>0</v>
      </c>
      <c r="K7" s="30">
        <f>IFERROR(INDEX(CP_Setembro!$L$5:$L$126,MATCH("F|"&amp;A7,CP_Setembro!$A$5:$A$126,0)),0)</f>
        <v>0</v>
      </c>
      <c r="L7" s="30">
        <f>IFERROR(INDEX(CP_Setembro!$J$5:$J$126,MATCH("F|"&amp;A7,CP_Setembro!$A$5:$A$126,0)),0)</f>
        <v>0</v>
      </c>
      <c r="M7" s="28" t="str">
        <f t="shared" si="2"/>
        <v>OK</v>
      </c>
      <c r="N7" s="28"/>
    </row>
    <row r="8" spans="1:14" x14ac:dyDescent="0.3">
      <c r="A8" s="27" t="str">
        <f>Conciliacao!B8</f>
        <v>81492</v>
      </c>
      <c r="B8" s="27" t="str">
        <f>Conciliacao!D8</f>
        <v>MULTI MAQUINAS</v>
      </c>
      <c r="C8" s="28" t="str">
        <f>IFERROR(INDEX(CP_Setembro!$C$5:$C$126,MATCH("F|"&amp;A8,CP_Setembro!$A$5:$A$126,0)),"NÃO ENCONTRADA")</f>
        <v>MULTIMAQUINAS LOCACAO DE MAQUINAS E EQUIPAMENTOS LTDA</v>
      </c>
      <c r="D8" s="29">
        <f>Conciliacao!E8</f>
        <v>650</v>
      </c>
      <c r="E8" s="30">
        <f>IFERROR(INDEX(CP_Setembro!$I$5:$I$126,MATCH("F|"&amp;A8,CP_Setembro!$A$5:$A$126,0)),0)</f>
        <v>650</v>
      </c>
      <c r="F8" s="30">
        <f t="shared" si="0"/>
        <v>0</v>
      </c>
      <c r="G8" s="29">
        <f>Conciliacao!F8</f>
        <v>650</v>
      </c>
      <c r="H8" s="30">
        <f>IFERROR(INDEX(CP_Setembro!$M$5:$M$126,MATCH("F|"&amp;A8,CP_Setembro!$A$5:$A$126,0)),0)</f>
        <v>650</v>
      </c>
      <c r="I8" s="30">
        <f t="shared" si="1"/>
        <v>0</v>
      </c>
      <c r="J8" s="30">
        <f>IFERROR(INDEX(CP_Setembro!$K$5:$K$126,MATCH("F|"&amp;A8,CP_Setembro!$A$5:$A$126,0)),0)</f>
        <v>0</v>
      </c>
      <c r="K8" s="30">
        <f>IFERROR(INDEX(CP_Setembro!$L$5:$L$126,MATCH("F|"&amp;A8,CP_Setembro!$A$5:$A$126,0)),0)</f>
        <v>0</v>
      </c>
      <c r="L8" s="30">
        <f>IFERROR(INDEX(CP_Setembro!$J$5:$J$126,MATCH("F|"&amp;A8,CP_Setembro!$A$5:$A$126,0)),0)</f>
        <v>0</v>
      </c>
      <c r="M8" s="28" t="str">
        <f t="shared" si="2"/>
        <v>OK</v>
      </c>
      <c r="N8" s="28"/>
    </row>
    <row r="9" spans="1:14" x14ac:dyDescent="0.3">
      <c r="A9" s="27" t="str">
        <f>Conciliacao!B9</f>
        <v>22853</v>
      </c>
      <c r="B9" s="27" t="str">
        <f>Conciliacao!D9</f>
        <v>GESCORPGO GERECIAMENTO</v>
      </c>
      <c r="C9" s="28" t="str">
        <f>IFERROR(INDEX(CP_Setembro!$C$5:$C$126,MATCH("F|"&amp;A9,CP_Setembro!$A$5:$A$126,0)),"NÃO ENCONTRADA")</f>
        <v>GESCORPGO GERENCIAMENTO SERVICOS CORPORATIVOS LTDA</v>
      </c>
      <c r="D9" s="29">
        <f>Conciliacao!E9</f>
        <v>2900</v>
      </c>
      <c r="E9" s="30">
        <f>IFERROR(INDEX(CP_Setembro!$I$5:$I$126,MATCH("F|"&amp;A9,CP_Setembro!$A$5:$A$126,0)),0)</f>
        <v>2900</v>
      </c>
      <c r="F9" s="30">
        <f t="shared" si="0"/>
        <v>0</v>
      </c>
      <c r="G9" s="29">
        <f>Conciliacao!F9</f>
        <v>2721</v>
      </c>
      <c r="H9" s="30">
        <f>IFERROR(INDEX(CP_Setembro!$M$5:$M$126,MATCH("F|"&amp;A9,CP_Setembro!$A$5:$A$126,0)),0)</f>
        <v>2721.65</v>
      </c>
      <c r="I9" s="30">
        <f t="shared" si="1"/>
        <v>-0.65000000000009095</v>
      </c>
      <c r="J9" s="30">
        <f>IFERROR(INDEX(CP_Setembro!$K$5:$K$126,MATCH("F|"&amp;A9,CP_Setembro!$A$5:$A$126,0)),0)</f>
        <v>0</v>
      </c>
      <c r="K9" s="30">
        <f>IFERROR(INDEX(CP_Setembro!$L$5:$L$126,MATCH("F|"&amp;A9,CP_Setembro!$A$5:$A$126,0)),0)</f>
        <v>0</v>
      </c>
      <c r="L9" s="30">
        <f>IFERROR(INDEX(CP_Setembro!$J$5:$J$126,MATCH("F|"&amp;A9,CP_Setembro!$A$5:$A$126,0)),0)</f>
        <v>178.35</v>
      </c>
      <c r="M9" s="28" t="str">
        <f t="shared" si="2"/>
        <v>DIVERGE</v>
      </c>
      <c r="N9" s="28" t="s">
        <v>530</v>
      </c>
    </row>
    <row r="10" spans="1:14" x14ac:dyDescent="0.3">
      <c r="A10" s="27" t="str">
        <f>Conciliacao!B10</f>
        <v>4295</v>
      </c>
      <c r="B10" s="27" t="str">
        <f>Conciliacao!D10</f>
        <v>FREE LINE MOVEIS</v>
      </c>
      <c r="C10" s="28" t="str">
        <f>IFERROR(INDEX(CP_Setembro!$C$5:$C$126,MATCH("F|"&amp;A10,CP_Setembro!$A$5:$A$126,0)),"NÃO ENCONTRADA")</f>
        <v>FREE LINE MOVEIS PARA ESCRITORIO LTDA</v>
      </c>
      <c r="D10" s="29">
        <f>Conciliacao!E10</f>
        <v>2924</v>
      </c>
      <c r="E10" s="30">
        <f>IFERROR(INDEX(CP_Setembro!$I$5:$I$126,MATCH("F|"&amp;A10,CP_Setembro!$A$5:$A$126,0)),0)</f>
        <v>2924</v>
      </c>
      <c r="F10" s="30">
        <f t="shared" si="0"/>
        <v>0</v>
      </c>
      <c r="G10" s="29">
        <f>Conciliacao!F10</f>
        <v>2924</v>
      </c>
      <c r="H10" s="30">
        <f>IFERROR(INDEX(CP_Setembro!$M$5:$M$126,MATCH("F|"&amp;A10,CP_Setembro!$A$5:$A$126,0)),0)</f>
        <v>2924</v>
      </c>
      <c r="I10" s="30">
        <f t="shared" si="1"/>
        <v>0</v>
      </c>
      <c r="J10" s="30">
        <f>IFERROR(INDEX(CP_Setembro!$K$5:$K$126,MATCH("F|"&amp;A10,CP_Setembro!$A$5:$A$126,0)),0)</f>
        <v>0</v>
      </c>
      <c r="K10" s="30">
        <f>IFERROR(INDEX(CP_Setembro!$L$5:$L$126,MATCH("F|"&amp;A10,CP_Setembro!$A$5:$A$126,0)),0)</f>
        <v>0</v>
      </c>
      <c r="L10" s="30">
        <f>IFERROR(INDEX(CP_Setembro!$J$5:$J$126,MATCH("F|"&amp;A10,CP_Setembro!$A$5:$A$126,0)),0)</f>
        <v>0</v>
      </c>
      <c r="M10" s="28" t="str">
        <f t="shared" si="2"/>
        <v>OK</v>
      </c>
      <c r="N10" s="28"/>
    </row>
    <row r="11" spans="1:14" x14ac:dyDescent="0.3">
      <c r="A11" s="27" t="str">
        <f>Conciliacao!B11</f>
        <v>3611480</v>
      </c>
      <c r="B11" s="27" t="str">
        <f>Conciliacao!D11</f>
        <v>GERDAU AÇOS MINAS</v>
      </c>
      <c r="C11" s="28" t="str">
        <f>IFERROR(INDEX(CP_Setembro!$C$5:$C$126,MATCH("F|"&amp;A11,CP_Setembro!$A$5:$A$126,0)),"NÃO ENCONTRADA")</f>
        <v>GERDAU ACOMINAS SA</v>
      </c>
      <c r="D11" s="29">
        <f>Conciliacao!E11</f>
        <v>172351.89</v>
      </c>
      <c r="E11" s="30">
        <f>IFERROR(INDEX(CP_Setembro!$I$5:$I$126,MATCH("F|"&amp;A11,CP_Setembro!$A$5:$A$126,0)),0)</f>
        <v>172351.89</v>
      </c>
      <c r="F11" s="30">
        <f t="shared" si="0"/>
        <v>0</v>
      </c>
      <c r="G11" s="29">
        <f>Conciliacao!F11</f>
        <v>172351.89</v>
      </c>
      <c r="H11" s="30">
        <f>IFERROR(INDEX(CP_Setembro!$M$5:$M$126,MATCH("F|"&amp;A11,CP_Setembro!$A$5:$A$126,0)),0)</f>
        <v>172351.89</v>
      </c>
      <c r="I11" s="30">
        <f t="shared" si="1"/>
        <v>0</v>
      </c>
      <c r="J11" s="30">
        <f>IFERROR(INDEX(CP_Setembro!$K$5:$K$126,MATCH("F|"&amp;A11,CP_Setembro!$A$5:$A$126,0)),0)</f>
        <v>0</v>
      </c>
      <c r="K11" s="30">
        <f>IFERROR(INDEX(CP_Setembro!$L$5:$L$126,MATCH("F|"&amp;A11,CP_Setembro!$A$5:$A$126,0)),0)</f>
        <v>0</v>
      </c>
      <c r="L11" s="30">
        <f>IFERROR(INDEX(CP_Setembro!$J$5:$J$126,MATCH("F|"&amp;A11,CP_Setembro!$A$5:$A$126,0)),0)</f>
        <v>0</v>
      </c>
      <c r="M11" s="28" t="str">
        <f t="shared" si="2"/>
        <v>OK</v>
      </c>
      <c r="N11" s="28"/>
    </row>
    <row r="12" spans="1:14" x14ac:dyDescent="0.3">
      <c r="A12" s="27" t="str">
        <f>Conciliacao!B12</f>
        <v>3611743</v>
      </c>
      <c r="B12" s="27" t="str">
        <f>Conciliacao!D12</f>
        <v>GERDAU AÇOS MINAS</v>
      </c>
      <c r="C12" s="28" t="str">
        <f>IFERROR(INDEX(CP_Setembro!$C$5:$C$126,MATCH("F|"&amp;A12,CP_Setembro!$A$5:$A$126,0)),"NÃO ENCONTRADA")</f>
        <v>GERDAU ACOMINAS SA</v>
      </c>
      <c r="D12" s="29">
        <f>Conciliacao!E12</f>
        <v>162042.73000000001</v>
      </c>
      <c r="E12" s="30">
        <f>IFERROR(INDEX(CP_Setembro!$I$5:$I$126,MATCH("F|"&amp;A12,CP_Setembro!$A$5:$A$126,0)),0)</f>
        <v>162042.73000000001</v>
      </c>
      <c r="F12" s="30">
        <f t="shared" si="0"/>
        <v>0</v>
      </c>
      <c r="G12" s="29">
        <f>Conciliacao!F12</f>
        <v>162042.73000000001</v>
      </c>
      <c r="H12" s="30">
        <f>IFERROR(INDEX(CP_Setembro!$M$5:$M$126,MATCH("F|"&amp;A12,CP_Setembro!$A$5:$A$126,0)),0)</f>
        <v>162042.73000000001</v>
      </c>
      <c r="I12" s="30">
        <f t="shared" si="1"/>
        <v>0</v>
      </c>
      <c r="J12" s="30">
        <f>IFERROR(INDEX(CP_Setembro!$K$5:$K$126,MATCH("F|"&amp;A12,CP_Setembro!$A$5:$A$126,0)),0)</f>
        <v>0</v>
      </c>
      <c r="K12" s="30">
        <f>IFERROR(INDEX(CP_Setembro!$L$5:$L$126,MATCH("F|"&amp;A12,CP_Setembro!$A$5:$A$126,0)),0)</f>
        <v>0</v>
      </c>
      <c r="L12" s="30">
        <f>IFERROR(INDEX(CP_Setembro!$J$5:$J$126,MATCH("F|"&amp;A12,CP_Setembro!$A$5:$A$126,0)),0)</f>
        <v>0</v>
      </c>
      <c r="M12" s="28" t="str">
        <f t="shared" si="2"/>
        <v>OK</v>
      </c>
      <c r="N12" s="28"/>
    </row>
    <row r="13" spans="1:14" x14ac:dyDescent="0.3">
      <c r="A13" s="27" t="str">
        <f>Conciliacao!B13</f>
        <v>1140</v>
      </c>
      <c r="B13" s="27" t="str">
        <f>Conciliacao!D13</f>
        <v>SOLOFIX  CONTEÇÕES</v>
      </c>
      <c r="C13" s="28" t="str">
        <f>IFERROR(INDEX(CP_Setembro!$C$5:$C$126,MATCH("F|"&amp;A13,CP_Setembro!$A$5:$A$126,0)),"NÃO ENCONTRADA")</f>
        <v>SOLOFIX CONTENCOES E ENGENHARIA LTDA</v>
      </c>
      <c r="D13" s="29">
        <f>Conciliacao!E13</f>
        <v>236236.69</v>
      </c>
      <c r="E13" s="30">
        <f>IFERROR(INDEX(CP_Setembro!$I$5:$I$126,MATCH("F|"&amp;A13,CP_Setembro!$A$5:$A$126,0)),0)</f>
        <v>236236.69</v>
      </c>
      <c r="F13" s="30">
        <f t="shared" si="0"/>
        <v>0</v>
      </c>
      <c r="G13" s="29">
        <f>Conciliacao!F13</f>
        <v>224424.86</v>
      </c>
      <c r="H13" s="30">
        <f>IFERROR(INDEX(CP_Setembro!$M$5:$M$126,MATCH("F|"&amp;A13,CP_Setembro!$A$5:$A$126,0)),0)</f>
        <v>224424.86</v>
      </c>
      <c r="I13" s="30">
        <f t="shared" si="1"/>
        <v>0</v>
      </c>
      <c r="J13" s="30">
        <f>IFERROR(INDEX(CP_Setembro!$K$5:$K$126,MATCH("F|"&amp;A13,CP_Setembro!$A$5:$A$126,0)),0)</f>
        <v>0</v>
      </c>
      <c r="K13" s="30">
        <f>IFERROR(INDEX(CP_Setembro!$L$5:$L$126,MATCH("F|"&amp;A13,CP_Setembro!$A$5:$A$126,0)),0)</f>
        <v>0</v>
      </c>
      <c r="L13" s="30">
        <f>IFERROR(INDEX(CP_Setembro!$J$5:$J$126,MATCH("F|"&amp;A13,CP_Setembro!$A$5:$A$126,0)),0)</f>
        <v>11811.83</v>
      </c>
      <c r="M13" s="28" t="str">
        <f t="shared" si="2"/>
        <v>OK</v>
      </c>
      <c r="N13" s="28"/>
    </row>
    <row r="14" spans="1:14" x14ac:dyDescent="0.3">
      <c r="A14" s="27" t="str">
        <f>Conciliacao!B14</f>
        <v>7662</v>
      </c>
      <c r="B14" s="27" t="str">
        <f>Conciliacao!D14</f>
        <v>PLANA REFLORESTAMENTO</v>
      </c>
      <c r="C14" s="28" t="str">
        <f>IFERROR(INDEX(CP_Setembro!$C$5:$C$126,MATCH("F|"&amp;A14,CP_Setembro!$A$5:$A$126,0)),"NÃO ENCONTRADA")</f>
        <v>PLANA REFLORESTAMENTO LTDA</v>
      </c>
      <c r="D14" s="29">
        <f>Conciliacao!E14</f>
        <v>720</v>
      </c>
      <c r="E14" s="30">
        <f>IFERROR(INDEX(CP_Setembro!$I$5:$I$126,MATCH("F|"&amp;A14,CP_Setembro!$A$5:$A$126,0)),0)</f>
        <v>720</v>
      </c>
      <c r="F14" s="30">
        <f t="shared" si="0"/>
        <v>0</v>
      </c>
      <c r="G14" s="29">
        <f>Conciliacao!F14</f>
        <v>639.72</v>
      </c>
      <c r="H14" s="30">
        <f>IFERROR(INDEX(CP_Setembro!$M$5:$M$126,MATCH("F|"&amp;A14,CP_Setembro!$A$5:$A$126,0)),0)</f>
        <v>639.72</v>
      </c>
      <c r="I14" s="30">
        <f t="shared" si="1"/>
        <v>0</v>
      </c>
      <c r="J14" s="30">
        <f>IFERROR(INDEX(CP_Setembro!$K$5:$K$126,MATCH("F|"&amp;A14,CP_Setembro!$A$5:$A$126,0)),0)</f>
        <v>0</v>
      </c>
      <c r="K14" s="30">
        <f>IFERROR(INDEX(CP_Setembro!$L$5:$L$126,MATCH("F|"&amp;A14,CP_Setembro!$A$5:$A$126,0)),0)</f>
        <v>0</v>
      </c>
      <c r="L14" s="30">
        <f>IFERROR(INDEX(CP_Setembro!$J$5:$J$126,MATCH("F|"&amp;A14,CP_Setembro!$A$5:$A$126,0)),0)</f>
        <v>80.28</v>
      </c>
      <c r="M14" s="28" t="str">
        <f t="shared" si="2"/>
        <v>OK</v>
      </c>
      <c r="N14" s="28"/>
    </row>
    <row r="15" spans="1:14" x14ac:dyDescent="0.3">
      <c r="A15" s="27" t="str">
        <f>Conciliacao!B15</f>
        <v>5826</v>
      </c>
      <c r="B15" s="27" t="str">
        <f>Conciliacao!D15</f>
        <v>ROCONTEC CESSÃO</v>
      </c>
      <c r="C15" s="28" t="str">
        <f>IFERROR(INDEX(CP_Setembro!$C$5:$C$126,MATCH("F|"&amp;A15,CP_Setembro!$A$5:$A$126,0)),"NÃO ENCONTRADA")</f>
        <v>ROCONTEC CESSAO DE MAO DE OBRA LTDA (Fornecedor)</v>
      </c>
      <c r="D15" s="29">
        <f>Conciliacao!E15</f>
        <v>124431.22</v>
      </c>
      <c r="E15" s="30">
        <f>IFERROR(INDEX(CP_Setembro!$I$5:$I$126,MATCH("F|"&amp;A15,CP_Setembro!$A$5:$A$126,0)),0)</f>
        <v>124431.22</v>
      </c>
      <c r="F15" s="30">
        <f t="shared" si="0"/>
        <v>0</v>
      </c>
      <c r="G15" s="29">
        <f>Conciliacao!F15</f>
        <v>113854.57</v>
      </c>
      <c r="H15" s="30">
        <f>IFERROR(INDEX(CP_Setembro!$M$5:$M$126,MATCH("F|"&amp;A15,CP_Setembro!$A$5:$A$126,0)),0)</f>
        <v>113854.57</v>
      </c>
      <c r="I15" s="30">
        <f t="shared" si="1"/>
        <v>0</v>
      </c>
      <c r="J15" s="30">
        <f>IFERROR(INDEX(CP_Setembro!$K$5:$K$126,MATCH("F|"&amp;A15,CP_Setembro!$A$5:$A$126,0)),0)</f>
        <v>0</v>
      </c>
      <c r="K15" s="30">
        <f>IFERROR(INDEX(CP_Setembro!$L$5:$L$126,MATCH("F|"&amp;A15,CP_Setembro!$A$5:$A$126,0)),0)</f>
        <v>0</v>
      </c>
      <c r="L15" s="30">
        <f>IFERROR(INDEX(CP_Setembro!$J$5:$J$126,MATCH("F|"&amp;A15,CP_Setembro!$A$5:$A$126,0)),0)</f>
        <v>10576.65</v>
      </c>
      <c r="M15" s="28" t="str">
        <f t="shared" si="2"/>
        <v>OK</v>
      </c>
      <c r="N15" s="28"/>
    </row>
    <row r="16" spans="1:14" x14ac:dyDescent="0.3">
      <c r="A16" s="27" t="str">
        <f>Conciliacao!B16</f>
        <v>70108</v>
      </c>
      <c r="B16" s="27" t="str">
        <f>Conciliacao!D16</f>
        <v>LOXAM DO BRASIL S.A</v>
      </c>
      <c r="C16" s="28" t="str">
        <f>IFERROR(INDEX(CP_Setembro!$C$5:$C$126,MATCH("F|"&amp;A16,CP_Setembro!$A$5:$A$126,0)),"NÃO ENCONTRADA")</f>
        <v>LOXAM DO BRASIL SA</v>
      </c>
      <c r="D16" s="29">
        <f>Conciliacao!E16</f>
        <v>4969.18</v>
      </c>
      <c r="E16" s="30">
        <f>IFERROR(INDEX(CP_Setembro!$I$5:$I$126,MATCH("F|"&amp;A16,CP_Setembro!$A$5:$A$126,0)),0)</f>
        <v>4969.18</v>
      </c>
      <c r="F16" s="30">
        <f t="shared" si="0"/>
        <v>0</v>
      </c>
      <c r="G16" s="29">
        <f>Conciliacao!F16</f>
        <v>4969.18</v>
      </c>
      <c r="H16" s="30">
        <f>IFERROR(INDEX(CP_Setembro!$M$5:$M$126,MATCH("F|"&amp;A16,CP_Setembro!$A$5:$A$126,0)),0)</f>
        <v>4969.18</v>
      </c>
      <c r="I16" s="30">
        <f t="shared" si="1"/>
        <v>0</v>
      </c>
      <c r="J16" s="30">
        <f>IFERROR(INDEX(CP_Setembro!$K$5:$K$126,MATCH("F|"&amp;A16,CP_Setembro!$A$5:$A$126,0)),0)</f>
        <v>0</v>
      </c>
      <c r="K16" s="30">
        <f>IFERROR(INDEX(CP_Setembro!$L$5:$L$126,MATCH("F|"&amp;A16,CP_Setembro!$A$5:$A$126,0)),0)</f>
        <v>0</v>
      </c>
      <c r="L16" s="30">
        <f>IFERROR(INDEX(CP_Setembro!$J$5:$J$126,MATCH("F|"&amp;A16,CP_Setembro!$A$5:$A$126,0)),0)</f>
        <v>0</v>
      </c>
      <c r="M16" s="28" t="str">
        <f t="shared" si="2"/>
        <v>OK</v>
      </c>
      <c r="N16" s="28"/>
    </row>
    <row r="17" spans="1:14" x14ac:dyDescent="0.3">
      <c r="A17" s="27" t="str">
        <f>Conciliacao!B17</f>
        <v>411</v>
      </c>
      <c r="B17" s="27" t="str">
        <f>Conciliacao!D17</f>
        <v>SÃO LEOPOLDO</v>
      </c>
      <c r="C17" s="28" t="str">
        <f>IFERROR(INDEX(CP_Setembro!$C$5:$C$126,MATCH("F|"&amp;A17,CP_Setembro!$A$5:$A$126,0)),"NÃO ENCONTRADA")</f>
        <v>SAO LEOPOLDO TRR DIESEL LTDA</v>
      </c>
      <c r="D17" s="29">
        <f>Conciliacao!E17</f>
        <v>2238.6</v>
      </c>
      <c r="E17" s="30">
        <f>IFERROR(INDEX(CP_Setembro!$I$5:$I$126,MATCH("F|"&amp;A17,CP_Setembro!$A$5:$A$126,0)),0)</f>
        <v>2238.6</v>
      </c>
      <c r="F17" s="30">
        <f t="shared" si="0"/>
        <v>0</v>
      </c>
      <c r="G17" s="29">
        <f>Conciliacao!F17</f>
        <v>2238.6</v>
      </c>
      <c r="H17" s="30">
        <f>IFERROR(INDEX(CP_Setembro!$M$5:$M$126,MATCH("F|"&amp;A17,CP_Setembro!$A$5:$A$126,0)),0)</f>
        <v>2238.6</v>
      </c>
      <c r="I17" s="30">
        <f t="shared" si="1"/>
        <v>0</v>
      </c>
      <c r="J17" s="30">
        <f>IFERROR(INDEX(CP_Setembro!$K$5:$K$126,MATCH("F|"&amp;A17,CP_Setembro!$A$5:$A$126,0)),0)</f>
        <v>0</v>
      </c>
      <c r="K17" s="30">
        <f>IFERROR(INDEX(CP_Setembro!$L$5:$L$126,MATCH("F|"&amp;A17,CP_Setembro!$A$5:$A$126,0)),0)</f>
        <v>0</v>
      </c>
      <c r="L17" s="30">
        <f>IFERROR(INDEX(CP_Setembro!$J$5:$J$126,MATCH("F|"&amp;A17,CP_Setembro!$A$5:$A$126,0)),0)</f>
        <v>0</v>
      </c>
      <c r="M17" s="28" t="str">
        <f t="shared" si="2"/>
        <v>OK</v>
      </c>
      <c r="N17" s="28"/>
    </row>
    <row r="18" spans="1:14" x14ac:dyDescent="0.3">
      <c r="A18" s="27" t="str">
        <f>Conciliacao!B18</f>
        <v>2118</v>
      </c>
      <c r="B18" s="27" t="str">
        <f>Conciliacao!D18</f>
        <v>SÃO LEOPOLDO</v>
      </c>
      <c r="C18" s="28" t="str">
        <f>IFERROR(INDEX(CP_Setembro!$C$5:$C$126,MATCH("F|"&amp;A18,CP_Setembro!$A$5:$A$126,0)),"NÃO ENCONTRADA")</f>
        <v>SAO LEOPOLDO TRR DIESEL LTDA</v>
      </c>
      <c r="D18" s="29">
        <f>Conciliacao!E18</f>
        <v>2254.1999999999998</v>
      </c>
      <c r="E18" s="30">
        <f>IFERROR(INDEX(CP_Setembro!$I$5:$I$126,MATCH("F|"&amp;A18,CP_Setembro!$A$5:$A$126,0)),0)</f>
        <v>2254.1999999999998</v>
      </c>
      <c r="F18" s="30">
        <f t="shared" si="0"/>
        <v>0</v>
      </c>
      <c r="G18" s="29">
        <f>Conciliacao!F18</f>
        <v>2254.1999999999998</v>
      </c>
      <c r="H18" s="30">
        <f>IFERROR(INDEX(CP_Setembro!$M$5:$M$126,MATCH("F|"&amp;A18,CP_Setembro!$A$5:$A$126,0)),0)</f>
        <v>2254.1999999999998</v>
      </c>
      <c r="I18" s="30">
        <f t="shared" si="1"/>
        <v>0</v>
      </c>
      <c r="J18" s="30">
        <f>IFERROR(INDEX(CP_Setembro!$K$5:$K$126,MATCH("F|"&amp;A18,CP_Setembro!$A$5:$A$126,0)),0)</f>
        <v>0</v>
      </c>
      <c r="K18" s="30">
        <f>IFERROR(INDEX(CP_Setembro!$L$5:$L$126,MATCH("F|"&amp;A18,CP_Setembro!$A$5:$A$126,0)),0)</f>
        <v>0</v>
      </c>
      <c r="L18" s="30">
        <f>IFERROR(INDEX(CP_Setembro!$J$5:$J$126,MATCH("F|"&amp;A18,CP_Setembro!$A$5:$A$126,0)),0)</f>
        <v>0</v>
      </c>
      <c r="M18" s="28" t="str">
        <f t="shared" si="2"/>
        <v>OK</v>
      </c>
      <c r="N18" s="28"/>
    </row>
    <row r="19" spans="1:14" x14ac:dyDescent="0.3">
      <c r="A19" s="27" t="str">
        <f>Conciliacao!B19</f>
        <v>170</v>
      </c>
      <c r="B19" s="27" t="str">
        <f>Conciliacao!D19</f>
        <v>CTE GERENCIAMENTO</v>
      </c>
      <c r="C19" s="28" t="str">
        <f>IFERROR(INDEX(CP_Setembro!$C$5:$C$126,MATCH("F|"&amp;A19,CP_Setembro!$A$5:$A$126,0)),"NÃO ENCONTRADA")</f>
        <v>CTE GERENCIAMENTO E CONSULTORIA EMPRESARIAL LTDA</v>
      </c>
      <c r="D19" s="29">
        <f>Conciliacao!E19</f>
        <v>20000</v>
      </c>
      <c r="E19" s="30">
        <f>IFERROR(INDEX(CP_Setembro!$I$5:$I$126,MATCH("F|"&amp;A19,CP_Setembro!$A$5:$A$126,0)),0)</f>
        <v>20000</v>
      </c>
      <c r="F19" s="30">
        <f t="shared" si="0"/>
        <v>0</v>
      </c>
      <c r="G19" s="29">
        <f>Conciliacao!F19</f>
        <v>18770</v>
      </c>
      <c r="H19" s="30">
        <f>IFERROR(INDEX(CP_Setembro!$M$5:$M$126,MATCH("F|"&amp;A19,CP_Setembro!$A$5:$A$126,0)),0)</f>
        <v>18770</v>
      </c>
      <c r="I19" s="30">
        <f t="shared" si="1"/>
        <v>0</v>
      </c>
      <c r="J19" s="30">
        <f>IFERROR(INDEX(CP_Setembro!$K$5:$K$126,MATCH("F|"&amp;A19,CP_Setembro!$A$5:$A$126,0)),0)</f>
        <v>0</v>
      </c>
      <c r="K19" s="30">
        <f>IFERROR(INDEX(CP_Setembro!$L$5:$L$126,MATCH("F|"&amp;A19,CP_Setembro!$A$5:$A$126,0)),0)</f>
        <v>0</v>
      </c>
      <c r="L19" s="30">
        <f>IFERROR(INDEX(CP_Setembro!$J$5:$J$126,MATCH("F|"&amp;A19,CP_Setembro!$A$5:$A$126,0)),0)</f>
        <v>1230</v>
      </c>
      <c r="M19" s="28" t="str">
        <f t="shared" si="2"/>
        <v>OK</v>
      </c>
      <c r="N19" s="28"/>
    </row>
    <row r="20" spans="1:14" x14ac:dyDescent="0.3">
      <c r="A20" s="27" t="str">
        <f>Conciliacao!B20</f>
        <v>37444</v>
      </c>
      <c r="B20" s="27" t="str">
        <f>Conciliacao!D20</f>
        <v>AGUAJATO TRANSPORTES</v>
      </c>
      <c r="C20" s="28" t="str">
        <f>IFERROR(INDEX(CP_Setembro!$C$5:$C$126,MATCH("F|"&amp;A20,CP_Setembro!$A$5:$A$126,0)),"NÃO ENCONTRADA")</f>
        <v>AGUAJATO TRANSPORTES LTDA</v>
      </c>
      <c r="D20" s="29">
        <f>Conciliacao!E20</f>
        <v>1800</v>
      </c>
      <c r="E20" s="30">
        <f>IFERROR(INDEX(CP_Setembro!$I$5:$I$126,MATCH("F|"&amp;A20,CP_Setembro!$A$5:$A$126,0)),0)</f>
        <v>1800</v>
      </c>
      <c r="F20" s="30">
        <f t="shared" si="0"/>
        <v>0</v>
      </c>
      <c r="G20" s="29">
        <f>Conciliacao!F20</f>
        <v>1710</v>
      </c>
      <c r="H20" s="30">
        <f>IFERROR(INDEX(CP_Setembro!$M$5:$M$126,MATCH("F|"&amp;A20,CP_Setembro!$A$5:$A$126,0)),0)</f>
        <v>1710</v>
      </c>
      <c r="I20" s="30">
        <f t="shared" si="1"/>
        <v>0</v>
      </c>
      <c r="J20" s="30">
        <f>IFERROR(INDEX(CP_Setembro!$K$5:$K$126,MATCH("F|"&amp;A20,CP_Setembro!$A$5:$A$126,0)),0)</f>
        <v>0</v>
      </c>
      <c r="K20" s="30">
        <f>IFERROR(INDEX(CP_Setembro!$L$5:$L$126,MATCH("F|"&amp;A20,CP_Setembro!$A$5:$A$126,0)),0)</f>
        <v>0</v>
      </c>
      <c r="L20" s="30">
        <f>IFERROR(INDEX(CP_Setembro!$J$5:$J$126,MATCH("F|"&amp;A20,CP_Setembro!$A$5:$A$126,0)),0)</f>
        <v>90</v>
      </c>
      <c r="M20" s="28" t="str">
        <f t="shared" si="2"/>
        <v>OK</v>
      </c>
      <c r="N20" s="28"/>
    </row>
    <row r="21" spans="1:14" x14ac:dyDescent="0.3">
      <c r="A21" s="27" t="str">
        <f>Conciliacao!B21</f>
        <v>2189</v>
      </c>
      <c r="B21" s="27" t="str">
        <f>Conciliacao!D21</f>
        <v>EMPORIO DA MADEIRA</v>
      </c>
      <c r="C21" s="28" t="str">
        <f>IFERROR(INDEX(CP_Setembro!$C$5:$C$126,MATCH("F|"&amp;A21,CP_Setembro!$A$5:$A$126,0)),"NÃO ENCONTRADA")</f>
        <v>EMPORIO DA MADEIRA UNIPESSOAL LTDA</v>
      </c>
      <c r="D21" s="29">
        <f>Conciliacao!E21</f>
        <v>15225</v>
      </c>
      <c r="E21" s="30">
        <f>IFERROR(INDEX(CP_Setembro!$I$5:$I$126,MATCH("F|"&amp;A21,CP_Setembro!$A$5:$A$126,0)),0)</f>
        <v>15225</v>
      </c>
      <c r="F21" s="30">
        <f t="shared" si="0"/>
        <v>0</v>
      </c>
      <c r="G21" s="29">
        <f>Conciliacao!F21</f>
        <v>15225</v>
      </c>
      <c r="H21" s="30">
        <f>IFERROR(INDEX(CP_Setembro!$M$5:$M$126,MATCH("F|"&amp;A21,CP_Setembro!$A$5:$A$126,0)),0)</f>
        <v>15225</v>
      </c>
      <c r="I21" s="30">
        <f t="shared" si="1"/>
        <v>0</v>
      </c>
      <c r="J21" s="30">
        <f>IFERROR(INDEX(CP_Setembro!$K$5:$K$126,MATCH("F|"&amp;A21,CP_Setembro!$A$5:$A$126,0)),0)</f>
        <v>0</v>
      </c>
      <c r="K21" s="30">
        <f>IFERROR(INDEX(CP_Setembro!$L$5:$L$126,MATCH("F|"&amp;A21,CP_Setembro!$A$5:$A$126,0)),0)</f>
        <v>0</v>
      </c>
      <c r="L21" s="30">
        <f>IFERROR(INDEX(CP_Setembro!$J$5:$J$126,MATCH("F|"&amp;A21,CP_Setembro!$A$5:$A$126,0)),0)</f>
        <v>0</v>
      </c>
      <c r="M21" s="28" t="str">
        <f t="shared" si="2"/>
        <v>OK</v>
      </c>
      <c r="N21" s="28"/>
    </row>
    <row r="22" spans="1:14" x14ac:dyDescent="0.3">
      <c r="A22" s="27" t="str">
        <f>Conciliacao!B22</f>
        <v>52071</v>
      </c>
      <c r="B22" s="27" t="str">
        <f>Conciliacao!D22</f>
        <v>OLUAP EQUIPAMENTOS</v>
      </c>
      <c r="C22" s="28" t="str">
        <f>IFERROR(INDEX(CP_Setembro!$C$5:$C$126,MATCH("F|"&amp;A22,CP_Setembro!$A$5:$A$126,0)),"NÃO ENCONTRADA")</f>
        <v>OLUAP EQUIPAMENTOS MATERIAIS ELETRICOS E REPRESENTACOES LTDA</v>
      </c>
      <c r="D22" s="29">
        <f>Conciliacao!E22</f>
        <v>490</v>
      </c>
      <c r="E22" s="30">
        <f>IFERROR(INDEX(CP_Setembro!$I$5:$I$126,MATCH("F|"&amp;A22,CP_Setembro!$A$5:$A$126,0)),0)</f>
        <v>490</v>
      </c>
      <c r="F22" s="30">
        <f t="shared" si="0"/>
        <v>0</v>
      </c>
      <c r="G22" s="29">
        <f>Conciliacao!F22</f>
        <v>490</v>
      </c>
      <c r="H22" s="30">
        <f>IFERROR(INDEX(CP_Setembro!$M$5:$M$126,MATCH("F|"&amp;A22,CP_Setembro!$A$5:$A$126,0)),0)</f>
        <v>490</v>
      </c>
      <c r="I22" s="30">
        <f t="shared" si="1"/>
        <v>0</v>
      </c>
      <c r="J22" s="30">
        <f>IFERROR(INDEX(CP_Setembro!$K$5:$K$126,MATCH("F|"&amp;A22,CP_Setembro!$A$5:$A$126,0)),0)</f>
        <v>0</v>
      </c>
      <c r="K22" s="30">
        <f>IFERROR(INDEX(CP_Setembro!$L$5:$L$126,MATCH("F|"&amp;A22,CP_Setembro!$A$5:$A$126,0)),0)</f>
        <v>0</v>
      </c>
      <c r="L22" s="30">
        <f>IFERROR(INDEX(CP_Setembro!$J$5:$J$126,MATCH("F|"&amp;A22,CP_Setembro!$A$5:$A$126,0)),0)</f>
        <v>0</v>
      </c>
      <c r="M22" s="28" t="str">
        <f t="shared" si="2"/>
        <v>OK</v>
      </c>
      <c r="N22" s="28"/>
    </row>
    <row r="23" spans="1:14" x14ac:dyDescent="0.3">
      <c r="A23" s="27" t="str">
        <f>Conciliacao!B23</f>
        <v>840236</v>
      </c>
      <c r="B23" s="27" t="str">
        <f>Conciliacao!D23</f>
        <v>DEPOSITO DE MADEIRAS SÃO LUIZ</v>
      </c>
      <c r="C23" s="28" t="str">
        <f>IFERROR(INDEX(CP_Setembro!$C$5:$C$126,MATCH("F|"&amp;A23,CP_Setembro!$A$5:$A$126,0)),"NÃO ENCONTRADA")</f>
        <v>DEPOSITO DE MADEIRA SAO LUIZ LTDA</v>
      </c>
      <c r="D23" s="29">
        <f>Conciliacao!E23</f>
        <v>2135</v>
      </c>
      <c r="E23" s="30">
        <f>IFERROR(INDEX(CP_Setembro!$I$5:$I$126,MATCH("F|"&amp;A23,CP_Setembro!$A$5:$A$126,0)),0)</f>
        <v>2135</v>
      </c>
      <c r="F23" s="30">
        <f t="shared" si="0"/>
        <v>0</v>
      </c>
      <c r="G23" s="29">
        <f>Conciliacao!F23</f>
        <v>2135</v>
      </c>
      <c r="H23" s="30">
        <f>IFERROR(INDEX(CP_Setembro!$M$5:$M$126,MATCH("F|"&amp;A23,CP_Setembro!$A$5:$A$126,0)),0)</f>
        <v>2135</v>
      </c>
      <c r="I23" s="30">
        <f t="shared" si="1"/>
        <v>0</v>
      </c>
      <c r="J23" s="30">
        <f>IFERROR(INDEX(CP_Setembro!$K$5:$K$126,MATCH("F|"&amp;A23,CP_Setembro!$A$5:$A$126,0)),0)</f>
        <v>0</v>
      </c>
      <c r="K23" s="30">
        <f>IFERROR(INDEX(CP_Setembro!$L$5:$L$126,MATCH("F|"&amp;A23,CP_Setembro!$A$5:$A$126,0)),0)</f>
        <v>0</v>
      </c>
      <c r="L23" s="30">
        <f>IFERROR(INDEX(CP_Setembro!$J$5:$J$126,MATCH("F|"&amp;A23,CP_Setembro!$A$5:$A$126,0)),0)</f>
        <v>0</v>
      </c>
      <c r="M23" s="28" t="str">
        <f t="shared" si="2"/>
        <v>OK</v>
      </c>
      <c r="N23" s="28"/>
    </row>
    <row r="24" spans="1:14" x14ac:dyDescent="0.3">
      <c r="A24" s="27" t="str">
        <f>Conciliacao!B24</f>
        <v>840206</v>
      </c>
      <c r="B24" s="27" t="str">
        <f>Conciliacao!D24</f>
        <v>DEPOSITO DE MADEIRAS SÃO LUIZ</v>
      </c>
      <c r="C24" s="28" t="str">
        <f>IFERROR(INDEX(CP_Setembro!$C$5:$C$126,MATCH("F|"&amp;A24,CP_Setembro!$A$5:$A$126,0)),"NÃO ENCONTRADA")</f>
        <v>DEPOSITO DE MADEIRA SAO LUIZ LTDA</v>
      </c>
      <c r="D24" s="29">
        <f>Conciliacao!E24</f>
        <v>3953.5</v>
      </c>
      <c r="E24" s="30">
        <f>IFERROR(INDEX(CP_Setembro!$I$5:$I$126,MATCH("F|"&amp;A24,CP_Setembro!$A$5:$A$126,0)),0)</f>
        <v>3953.5</v>
      </c>
      <c r="F24" s="30">
        <f t="shared" si="0"/>
        <v>0</v>
      </c>
      <c r="G24" s="29">
        <f>Conciliacao!F24</f>
        <v>3953.5</v>
      </c>
      <c r="H24" s="30">
        <f>IFERROR(INDEX(CP_Setembro!$M$5:$M$126,MATCH("F|"&amp;A24,CP_Setembro!$A$5:$A$126,0)),0)</f>
        <v>3953.5</v>
      </c>
      <c r="I24" s="30">
        <f t="shared" si="1"/>
        <v>0</v>
      </c>
      <c r="J24" s="30">
        <f>IFERROR(INDEX(CP_Setembro!$K$5:$K$126,MATCH("F|"&amp;A24,CP_Setembro!$A$5:$A$126,0)),0)</f>
        <v>0</v>
      </c>
      <c r="K24" s="30">
        <f>IFERROR(INDEX(CP_Setembro!$L$5:$L$126,MATCH("F|"&amp;A24,CP_Setembro!$A$5:$A$126,0)),0)</f>
        <v>0</v>
      </c>
      <c r="L24" s="30">
        <f>IFERROR(INDEX(CP_Setembro!$J$5:$J$126,MATCH("F|"&amp;A24,CP_Setembro!$A$5:$A$126,0)),0)</f>
        <v>0</v>
      </c>
      <c r="M24" s="28" t="str">
        <f t="shared" si="2"/>
        <v>OK</v>
      </c>
      <c r="N24" s="28"/>
    </row>
    <row r="25" spans="1:14" x14ac:dyDescent="0.3">
      <c r="A25" s="27" t="str">
        <f>Conciliacao!B25</f>
        <v>840239</v>
      </c>
      <c r="B25" s="27" t="str">
        <f>Conciliacao!D25</f>
        <v>DEPOSITO DE MADEIRAS SÃO LUIZ</v>
      </c>
      <c r="C25" s="28" t="str">
        <f>IFERROR(INDEX(CP_Setembro!$C$5:$C$126,MATCH("F|"&amp;A25,CP_Setembro!$A$5:$A$126,0)),"NÃO ENCONTRADA")</f>
        <v>DEPOSITO DE MADEIRA SAO LUIZ LTDA</v>
      </c>
      <c r="D25" s="29">
        <f>Conciliacao!E25</f>
        <v>4965</v>
      </c>
      <c r="E25" s="30">
        <f>IFERROR(INDEX(CP_Setembro!$I$5:$I$126,MATCH("F|"&amp;A25,CP_Setembro!$A$5:$A$126,0)),0)</f>
        <v>4965</v>
      </c>
      <c r="F25" s="30">
        <f t="shared" si="0"/>
        <v>0</v>
      </c>
      <c r="G25" s="29">
        <f>Conciliacao!F25</f>
        <v>4965</v>
      </c>
      <c r="H25" s="30">
        <f>IFERROR(INDEX(CP_Setembro!$M$5:$M$126,MATCH("F|"&amp;A25,CP_Setembro!$A$5:$A$126,0)),0)</f>
        <v>4965</v>
      </c>
      <c r="I25" s="30">
        <f t="shared" si="1"/>
        <v>0</v>
      </c>
      <c r="J25" s="30">
        <f>IFERROR(INDEX(CP_Setembro!$K$5:$K$126,MATCH("F|"&amp;A25,CP_Setembro!$A$5:$A$126,0)),0)</f>
        <v>0</v>
      </c>
      <c r="K25" s="30">
        <f>IFERROR(INDEX(CP_Setembro!$L$5:$L$126,MATCH("F|"&amp;A25,CP_Setembro!$A$5:$A$126,0)),0)</f>
        <v>0</v>
      </c>
      <c r="L25" s="30">
        <f>IFERROR(INDEX(CP_Setembro!$J$5:$J$126,MATCH("F|"&amp;A25,CP_Setembro!$A$5:$A$126,0)),0)</f>
        <v>0</v>
      </c>
      <c r="M25" s="28" t="str">
        <f t="shared" si="2"/>
        <v>OK</v>
      </c>
      <c r="N25" s="28"/>
    </row>
    <row r="26" spans="1:14" x14ac:dyDescent="0.3">
      <c r="A26" s="27" t="str">
        <f>Conciliacao!B26</f>
        <v>840205</v>
      </c>
      <c r="B26" s="27" t="str">
        <f>Conciliacao!D26</f>
        <v>DEPOSITO DE MADEIRAS SÃO LUIZ</v>
      </c>
      <c r="C26" s="28" t="str">
        <f>IFERROR(INDEX(CP_Setembro!$C$5:$C$126,MATCH("F|"&amp;A26,CP_Setembro!$A$5:$A$126,0)),"NÃO ENCONTRADA")</f>
        <v>DEPOSITO DE MADEIRA SAO LUIZ LTDA</v>
      </c>
      <c r="D26" s="29">
        <f>Conciliacao!E26</f>
        <v>1525</v>
      </c>
      <c r="E26" s="30">
        <f>IFERROR(INDEX(CP_Setembro!$I$5:$I$126,MATCH("F|"&amp;A26,CP_Setembro!$A$5:$A$126,0)),0)</f>
        <v>1525</v>
      </c>
      <c r="F26" s="30">
        <f t="shared" si="0"/>
        <v>0</v>
      </c>
      <c r="G26" s="29">
        <f>Conciliacao!F26</f>
        <v>1525</v>
      </c>
      <c r="H26" s="30">
        <f>IFERROR(INDEX(CP_Setembro!$M$5:$M$126,MATCH("F|"&amp;A26,CP_Setembro!$A$5:$A$126,0)),0)</f>
        <v>1525</v>
      </c>
      <c r="I26" s="30">
        <f t="shared" si="1"/>
        <v>0</v>
      </c>
      <c r="J26" s="30">
        <f>IFERROR(INDEX(CP_Setembro!$K$5:$K$126,MATCH("F|"&amp;A26,CP_Setembro!$A$5:$A$126,0)),0)</f>
        <v>0</v>
      </c>
      <c r="K26" s="30">
        <f>IFERROR(INDEX(CP_Setembro!$L$5:$L$126,MATCH("F|"&amp;A26,CP_Setembro!$A$5:$A$126,0)),0)</f>
        <v>0</v>
      </c>
      <c r="L26" s="30">
        <f>IFERROR(INDEX(CP_Setembro!$J$5:$J$126,MATCH("F|"&amp;A26,CP_Setembro!$A$5:$A$126,0)),0)</f>
        <v>0</v>
      </c>
      <c r="M26" s="28" t="str">
        <f t="shared" si="2"/>
        <v>OK</v>
      </c>
      <c r="N26" s="28"/>
    </row>
    <row r="27" spans="1:14" x14ac:dyDescent="0.3">
      <c r="A27" s="27" t="str">
        <f>Conciliacao!B27</f>
        <v>840238</v>
      </c>
      <c r="B27" s="27" t="str">
        <f>Conciliacao!D27</f>
        <v>DEPOSITO DE MADEIRAS SÃO LUIZ</v>
      </c>
      <c r="C27" s="28" t="str">
        <f>IFERROR(INDEX(CP_Setembro!$C$5:$C$126,MATCH("F|"&amp;A27,CP_Setembro!$A$5:$A$126,0)),"NÃO ENCONTRADA")</f>
        <v>DEPOSITO DE MADEIRA SAO LUIZ LTDA</v>
      </c>
      <c r="D27" s="29">
        <f>Conciliacao!E27</f>
        <v>1421.8</v>
      </c>
      <c r="E27" s="30">
        <f>IFERROR(INDEX(CP_Setembro!$I$5:$I$126,MATCH("F|"&amp;A27,CP_Setembro!$A$5:$A$126,0)),0)</f>
        <v>1421.5</v>
      </c>
      <c r="F27" s="30">
        <f t="shared" si="0"/>
        <v>0.29999999999995453</v>
      </c>
      <c r="G27" s="29">
        <f>Conciliacao!F27</f>
        <v>1421.8</v>
      </c>
      <c r="H27" s="30">
        <f>IFERROR(INDEX(CP_Setembro!$M$5:$M$126,MATCH("F|"&amp;A27,CP_Setembro!$A$5:$A$126,0)),0)</f>
        <v>1421.8</v>
      </c>
      <c r="I27" s="30">
        <f t="shared" si="1"/>
        <v>0</v>
      </c>
      <c r="J27" s="30">
        <f>IFERROR(INDEX(CP_Setembro!$K$5:$K$126,MATCH("F|"&amp;A27,CP_Setembro!$A$5:$A$126,0)),0)</f>
        <v>0</v>
      </c>
      <c r="K27" s="30">
        <f>IFERROR(INDEX(CP_Setembro!$L$5:$L$126,MATCH("F|"&amp;A27,CP_Setembro!$A$5:$A$126,0)),0)</f>
        <v>0.3</v>
      </c>
      <c r="L27" s="30">
        <f>IFERROR(INDEX(CP_Setembro!$J$5:$J$126,MATCH("F|"&amp;A27,CP_Setembro!$A$5:$A$126,0)),0)</f>
        <v>0</v>
      </c>
      <c r="M27" s="28" t="str">
        <f t="shared" si="2"/>
        <v>DIVERGE</v>
      </c>
      <c r="N27" s="28" t="s">
        <v>531</v>
      </c>
    </row>
    <row r="28" spans="1:14" x14ac:dyDescent="0.3">
      <c r="A28" s="27" t="str">
        <f>Conciliacao!B28</f>
        <v>2193</v>
      </c>
      <c r="B28" s="27" t="str">
        <f>Conciliacao!D28</f>
        <v>EMPORIO DA MADEIRA</v>
      </c>
      <c r="C28" s="28" t="str">
        <f>IFERROR(INDEX(CP_Setembro!$C$5:$C$126,MATCH("F|"&amp;A28,CP_Setembro!$A$5:$A$126,0)),"NÃO ENCONTRADA")</f>
        <v>EMPORIO DA MADEIRA UNIPESSOAL LTDA</v>
      </c>
      <c r="D28" s="29">
        <f>Conciliacao!E28</f>
        <v>20455</v>
      </c>
      <c r="E28" s="30">
        <f>IFERROR(INDEX(CP_Setembro!$I$5:$I$126,MATCH("F|"&amp;A28,CP_Setembro!$A$5:$A$126,0)),0)</f>
        <v>20455</v>
      </c>
      <c r="F28" s="30">
        <f t="shared" si="0"/>
        <v>0</v>
      </c>
      <c r="G28" s="29">
        <f>Conciliacao!F28</f>
        <v>20455</v>
      </c>
      <c r="H28" s="30">
        <f>IFERROR(INDEX(CP_Setembro!$M$5:$M$126,MATCH("F|"&amp;A28,CP_Setembro!$A$5:$A$126,0)),0)</f>
        <v>20455</v>
      </c>
      <c r="I28" s="30">
        <f t="shared" si="1"/>
        <v>0</v>
      </c>
      <c r="J28" s="30">
        <f>IFERROR(INDEX(CP_Setembro!$K$5:$K$126,MATCH("F|"&amp;A28,CP_Setembro!$A$5:$A$126,0)),0)</f>
        <v>0</v>
      </c>
      <c r="K28" s="30">
        <f>IFERROR(INDEX(CP_Setembro!$L$5:$L$126,MATCH("F|"&amp;A28,CP_Setembro!$A$5:$A$126,0)),0)</f>
        <v>0</v>
      </c>
      <c r="L28" s="30">
        <f>IFERROR(INDEX(CP_Setembro!$J$5:$J$126,MATCH("F|"&amp;A28,CP_Setembro!$A$5:$A$126,0)),0)</f>
        <v>0</v>
      </c>
      <c r="M28" s="28" t="str">
        <f t="shared" si="2"/>
        <v>OK</v>
      </c>
      <c r="N28" s="28"/>
    </row>
    <row r="29" spans="1:14" x14ac:dyDescent="0.3">
      <c r="A29" s="27" t="str">
        <f>Conciliacao!B29</f>
        <v>95948</v>
      </c>
      <c r="B29" s="27" t="str">
        <f>Conciliacao!D29</f>
        <v>C &amp; N COPIAS</v>
      </c>
      <c r="C29" s="28" t="str">
        <f>IFERROR(INDEX(CP_Setembro!$C$5:$C$126,MATCH("F|"&amp;A29,CP_Setembro!$A$5:$A$126,0)),"NÃO ENCONTRADA")</f>
        <v>C &amp; N COPIADORA LTDA</v>
      </c>
      <c r="D29" s="29">
        <f>Conciliacao!E29</f>
        <v>2662.78</v>
      </c>
      <c r="E29" s="30">
        <f>IFERROR(INDEX(CP_Setembro!$I$5:$I$126,MATCH("F|"&amp;A29,CP_Setembro!$A$5:$A$126,0)),0)</f>
        <v>2662.78</v>
      </c>
      <c r="F29" s="30">
        <f t="shared" si="0"/>
        <v>0</v>
      </c>
      <c r="G29" s="29">
        <f>Conciliacao!F29</f>
        <v>2529.64</v>
      </c>
      <c r="H29" s="30">
        <f>IFERROR(INDEX(CP_Setembro!$M$5:$M$126,MATCH("F|"&amp;A29,CP_Setembro!$A$5:$A$126,0)),0)</f>
        <v>2529.64</v>
      </c>
      <c r="I29" s="30">
        <f t="shared" si="1"/>
        <v>0</v>
      </c>
      <c r="J29" s="30">
        <f>IFERROR(INDEX(CP_Setembro!$K$5:$K$126,MATCH("F|"&amp;A29,CP_Setembro!$A$5:$A$126,0)),0)</f>
        <v>0</v>
      </c>
      <c r="K29" s="30">
        <f>IFERROR(INDEX(CP_Setembro!$L$5:$L$126,MATCH("F|"&amp;A29,CP_Setembro!$A$5:$A$126,0)),0)</f>
        <v>0</v>
      </c>
      <c r="L29" s="30">
        <f>IFERROR(INDEX(CP_Setembro!$J$5:$J$126,MATCH("F|"&amp;A29,CP_Setembro!$A$5:$A$126,0)),0)</f>
        <v>133.13999999999999</v>
      </c>
      <c r="M29" s="28" t="str">
        <f t="shared" si="2"/>
        <v>OK</v>
      </c>
      <c r="N29" s="28"/>
    </row>
    <row r="30" spans="1:14" x14ac:dyDescent="0.3">
      <c r="A30" s="27" t="str">
        <f>Conciliacao!B30</f>
        <v>14509</v>
      </c>
      <c r="B30" s="27" t="str">
        <f>Conciliacao!D30</f>
        <v>AUREA DISTIBUIDORA</v>
      </c>
      <c r="C30" s="28" t="str">
        <f>IFERROR(INDEX(CP_Setembro!$C$5:$C$126,MATCH("F|"&amp;A30,CP_Setembro!$A$5:$A$126,0)),"NÃO ENCONTRADA")</f>
        <v>AUREA DISTRIBUIDORA LTDA</v>
      </c>
      <c r="D30" s="29">
        <f>Conciliacao!E30</f>
        <v>1325.64</v>
      </c>
      <c r="E30" s="30">
        <f>IFERROR(INDEX(CP_Setembro!$I$5:$I$126,MATCH("F|"&amp;A30,CP_Setembro!$A$5:$A$126,0)),0)</f>
        <v>1325.64</v>
      </c>
      <c r="F30" s="30">
        <f t="shared" si="0"/>
        <v>0</v>
      </c>
      <c r="G30" s="29">
        <f>Conciliacao!F30</f>
        <v>1325.64</v>
      </c>
      <c r="H30" s="30">
        <f>IFERROR(INDEX(CP_Setembro!$M$5:$M$126,MATCH("F|"&amp;A30,CP_Setembro!$A$5:$A$126,0)),0)</f>
        <v>1325.64</v>
      </c>
      <c r="I30" s="30">
        <f t="shared" si="1"/>
        <v>0</v>
      </c>
      <c r="J30" s="30">
        <f>IFERROR(INDEX(CP_Setembro!$K$5:$K$126,MATCH("F|"&amp;A30,CP_Setembro!$A$5:$A$126,0)),0)</f>
        <v>0</v>
      </c>
      <c r="K30" s="30">
        <f>IFERROR(INDEX(CP_Setembro!$L$5:$L$126,MATCH("F|"&amp;A30,CP_Setembro!$A$5:$A$126,0)),0)</f>
        <v>0</v>
      </c>
      <c r="L30" s="30">
        <f>IFERROR(INDEX(CP_Setembro!$J$5:$J$126,MATCH("F|"&amp;A30,CP_Setembro!$A$5:$A$126,0)),0)</f>
        <v>0</v>
      </c>
      <c r="M30" s="28" t="str">
        <f t="shared" si="2"/>
        <v>OK</v>
      </c>
      <c r="N30" s="28"/>
    </row>
    <row r="31" spans="1:14" x14ac:dyDescent="0.3">
      <c r="A31" s="27" t="str">
        <f>Conciliacao!B31</f>
        <v>5273</v>
      </c>
      <c r="B31" s="27" t="str">
        <f>Conciliacao!D31</f>
        <v>RILE CONSTRUÇÕES</v>
      </c>
      <c r="C31" s="28" t="str">
        <f>IFERROR(INDEX(CP_Setembro!$C$5:$C$126,MATCH("F|"&amp;A31,CP_Setembro!$A$5:$A$126,0)),"NÃO ENCONTRADA")</f>
        <v>RILE CONSTRUCOES ELETRICAS LTDA</v>
      </c>
      <c r="D31" s="29">
        <f>Conciliacao!E31</f>
        <v>9688.84</v>
      </c>
      <c r="E31" s="30">
        <f>IFERROR(INDEX(CP_Setembro!$I$5:$I$126,MATCH("F|"&amp;A31,CP_Setembro!$A$5:$A$126,0)),0)</f>
        <v>9688.84</v>
      </c>
      <c r="F31" s="30">
        <f t="shared" si="0"/>
        <v>0</v>
      </c>
      <c r="G31" s="29">
        <f>Conciliacao!F31</f>
        <v>9461.59</v>
      </c>
      <c r="H31" s="30">
        <f>IFERROR(INDEX(CP_Setembro!$M$5:$M$126,MATCH("F|"&amp;A31,CP_Setembro!$A$5:$A$126,0)),0)</f>
        <v>9461.59</v>
      </c>
      <c r="I31" s="30">
        <f t="shared" si="1"/>
        <v>0</v>
      </c>
      <c r="J31" s="30">
        <f>IFERROR(INDEX(CP_Setembro!$K$5:$K$126,MATCH("F|"&amp;A31,CP_Setembro!$A$5:$A$126,0)),0)</f>
        <v>0</v>
      </c>
      <c r="K31" s="30">
        <f>IFERROR(INDEX(CP_Setembro!$L$5:$L$126,MATCH("F|"&amp;A31,CP_Setembro!$A$5:$A$126,0)),0)</f>
        <v>0</v>
      </c>
      <c r="L31" s="30">
        <f>IFERROR(INDEX(CP_Setembro!$J$5:$J$126,MATCH("F|"&amp;A31,CP_Setembro!$A$5:$A$126,0)),0)</f>
        <v>227.25</v>
      </c>
      <c r="M31" s="28" t="str">
        <f t="shared" si="2"/>
        <v>OK</v>
      </c>
      <c r="N31" s="28"/>
    </row>
    <row r="32" spans="1:14" x14ac:dyDescent="0.3">
      <c r="A32" s="27" t="str">
        <f>Conciliacao!B32</f>
        <v>3617988</v>
      </c>
      <c r="B32" s="27" t="str">
        <f>Conciliacao!D32</f>
        <v>GERDAU AÇOS MINAS</v>
      </c>
      <c r="C32" s="28" t="str">
        <f>IFERROR(INDEX(CP_Setembro!$C$5:$C$126,MATCH("F|"&amp;A32,CP_Setembro!$A$5:$A$126,0)),"NÃO ENCONTRADA")</f>
        <v>GERDAU ACOMINAS SA</v>
      </c>
      <c r="D32" s="29">
        <f>Conciliacao!E32</f>
        <v>145344.76999999999</v>
      </c>
      <c r="E32" s="30">
        <f>IFERROR(INDEX(CP_Setembro!$I$5:$I$126,MATCH("F|"&amp;A32,CP_Setembro!$A$5:$A$126,0)),0)</f>
        <v>145344.76999999999</v>
      </c>
      <c r="F32" s="30">
        <f t="shared" si="0"/>
        <v>0</v>
      </c>
      <c r="G32" s="29">
        <f>Conciliacao!F32</f>
        <v>145344.76999999999</v>
      </c>
      <c r="H32" s="30">
        <f>IFERROR(INDEX(CP_Setembro!$M$5:$M$126,MATCH("F|"&amp;A32,CP_Setembro!$A$5:$A$126,0)),0)</f>
        <v>145344.76999999999</v>
      </c>
      <c r="I32" s="30">
        <f t="shared" si="1"/>
        <v>0</v>
      </c>
      <c r="J32" s="30">
        <f>IFERROR(INDEX(CP_Setembro!$K$5:$K$126,MATCH("F|"&amp;A32,CP_Setembro!$A$5:$A$126,0)),0)</f>
        <v>0</v>
      </c>
      <c r="K32" s="30">
        <f>IFERROR(INDEX(CP_Setembro!$L$5:$L$126,MATCH("F|"&amp;A32,CP_Setembro!$A$5:$A$126,0)),0)</f>
        <v>0</v>
      </c>
      <c r="L32" s="30">
        <f>IFERROR(INDEX(CP_Setembro!$J$5:$J$126,MATCH("F|"&amp;A32,CP_Setembro!$A$5:$A$126,0)),0)</f>
        <v>0</v>
      </c>
      <c r="M32" s="28" t="str">
        <f t="shared" si="2"/>
        <v>OK</v>
      </c>
      <c r="N32" s="28"/>
    </row>
    <row r="33" spans="1:14" x14ac:dyDescent="0.3">
      <c r="A33" s="27" t="str">
        <f>Conciliacao!B33</f>
        <v>3618398</v>
      </c>
      <c r="B33" s="27" t="str">
        <f>Conciliacao!D33</f>
        <v>GERDAU AÇOS MINAS</v>
      </c>
      <c r="C33" s="28" t="str">
        <f>IFERROR(INDEX(CP_Setembro!$C$5:$C$126,MATCH("F|"&amp;A33,CP_Setembro!$A$5:$A$126,0)),"NÃO ENCONTRADA")</f>
        <v>GERDAU ACOMINAS SA</v>
      </c>
      <c r="D33" s="29">
        <f>Conciliacao!E33</f>
        <v>166108.31</v>
      </c>
      <c r="E33" s="30">
        <f>IFERROR(INDEX(CP_Setembro!$I$5:$I$126,MATCH("F|"&amp;A33,CP_Setembro!$A$5:$A$126,0)),0)</f>
        <v>166108.31</v>
      </c>
      <c r="F33" s="30">
        <f t="shared" si="0"/>
        <v>0</v>
      </c>
      <c r="G33" s="29">
        <f>Conciliacao!F33</f>
        <v>166108.31</v>
      </c>
      <c r="H33" s="30">
        <f>IFERROR(INDEX(CP_Setembro!$M$5:$M$126,MATCH("F|"&amp;A33,CP_Setembro!$A$5:$A$126,0)),0)</f>
        <v>166108.31</v>
      </c>
      <c r="I33" s="30">
        <f t="shared" si="1"/>
        <v>0</v>
      </c>
      <c r="J33" s="30">
        <f>IFERROR(INDEX(CP_Setembro!$K$5:$K$126,MATCH("F|"&amp;A33,CP_Setembro!$A$5:$A$126,0)),0)</f>
        <v>0</v>
      </c>
      <c r="K33" s="30">
        <f>IFERROR(INDEX(CP_Setembro!$L$5:$L$126,MATCH("F|"&amp;A33,CP_Setembro!$A$5:$A$126,0)),0)</f>
        <v>0</v>
      </c>
      <c r="L33" s="30">
        <f>IFERROR(INDEX(CP_Setembro!$J$5:$J$126,MATCH("F|"&amp;A33,CP_Setembro!$A$5:$A$126,0)),0)</f>
        <v>0</v>
      </c>
      <c r="M33" s="28" t="str">
        <f t="shared" si="2"/>
        <v>OK</v>
      </c>
      <c r="N33" s="28"/>
    </row>
    <row r="34" spans="1:14" x14ac:dyDescent="0.3">
      <c r="A34" s="27" t="str">
        <f>Conciliacao!B34</f>
        <v>1985672</v>
      </c>
      <c r="B34" s="27" t="str">
        <f>Conciliacao!D34</f>
        <v>AXA SEGUROS</v>
      </c>
      <c r="C34" s="28" t="str">
        <f>IFERROR(INDEX(CP_Setembro!$C$5:$C$126,MATCH("F|"&amp;A34,CP_Setembro!$A$5:$A$126,0)),"NÃO ENCONTRADA")</f>
        <v>AXA SEGUROS SA (Fornecedor)</v>
      </c>
      <c r="D34" s="29">
        <f>Conciliacao!E34</f>
        <v>42668.95</v>
      </c>
      <c r="E34" s="30">
        <f>IFERROR(INDEX(CP_Setembro!$I$5:$I$126,MATCH("F|"&amp;A34,CP_Setembro!$A$5:$A$126,0)),0)</f>
        <v>42668.95</v>
      </c>
      <c r="F34" s="30">
        <f t="shared" si="0"/>
        <v>0</v>
      </c>
      <c r="G34" s="29">
        <f>Conciliacao!F34</f>
        <v>42668.95</v>
      </c>
      <c r="H34" s="30">
        <f>IFERROR(INDEX(CP_Setembro!$M$5:$M$126,MATCH("F|"&amp;A34,CP_Setembro!$A$5:$A$126,0)),0)</f>
        <v>42668.95</v>
      </c>
      <c r="I34" s="30">
        <f t="shared" si="1"/>
        <v>0</v>
      </c>
      <c r="J34" s="30">
        <f>IFERROR(INDEX(CP_Setembro!$K$5:$K$126,MATCH("F|"&amp;A34,CP_Setembro!$A$5:$A$126,0)),0)</f>
        <v>0</v>
      </c>
      <c r="K34" s="30">
        <f>IFERROR(INDEX(CP_Setembro!$L$5:$L$126,MATCH("F|"&amp;A34,CP_Setembro!$A$5:$A$126,0)),0)</f>
        <v>0</v>
      </c>
      <c r="L34" s="30">
        <f>IFERROR(INDEX(CP_Setembro!$J$5:$J$126,MATCH("F|"&amp;A34,CP_Setembro!$A$5:$A$126,0)),0)</f>
        <v>0</v>
      </c>
      <c r="M34" s="28" t="str">
        <f t="shared" si="2"/>
        <v>OK</v>
      </c>
      <c r="N34" s="28"/>
    </row>
    <row r="35" spans="1:14" x14ac:dyDescent="0.3">
      <c r="A35" s="27" t="str">
        <f>Conciliacao!B35</f>
        <v>1985676</v>
      </c>
      <c r="B35" s="27" t="str">
        <f>Conciliacao!D35</f>
        <v>AXA SEGUROS</v>
      </c>
      <c r="C35" s="28" t="str">
        <f>IFERROR(INDEX(CP_Setembro!$C$5:$C$126,MATCH("F|"&amp;A35,CP_Setembro!$A$5:$A$126,0)),"NÃO ENCONTRADA")</f>
        <v>AXA SEGUROS SA (Fornecedor)</v>
      </c>
      <c r="D35" s="29">
        <f>Conciliacao!E35</f>
        <v>29753.67</v>
      </c>
      <c r="E35" s="30">
        <f>IFERROR(INDEX(CP_Setembro!$I$5:$I$126,MATCH("F|"&amp;A35,CP_Setembro!$A$5:$A$126,0)),0)</f>
        <v>29753.67</v>
      </c>
      <c r="F35" s="30">
        <f t="shared" si="0"/>
        <v>0</v>
      </c>
      <c r="G35" s="29">
        <f>Conciliacao!F35</f>
        <v>29753.67</v>
      </c>
      <c r="H35" s="30">
        <f>IFERROR(INDEX(CP_Setembro!$M$5:$M$126,MATCH("F|"&amp;A35,CP_Setembro!$A$5:$A$126,0)),0)</f>
        <v>29753.67</v>
      </c>
      <c r="I35" s="30">
        <f t="shared" si="1"/>
        <v>0</v>
      </c>
      <c r="J35" s="30">
        <f>IFERROR(INDEX(CP_Setembro!$K$5:$K$126,MATCH("F|"&amp;A35,CP_Setembro!$A$5:$A$126,0)),0)</f>
        <v>0</v>
      </c>
      <c r="K35" s="30">
        <f>IFERROR(INDEX(CP_Setembro!$L$5:$L$126,MATCH("F|"&amp;A35,CP_Setembro!$A$5:$A$126,0)),0)</f>
        <v>0</v>
      </c>
      <c r="L35" s="30">
        <f>IFERROR(INDEX(CP_Setembro!$J$5:$J$126,MATCH("F|"&amp;A35,CP_Setembro!$A$5:$A$126,0)),0)</f>
        <v>0</v>
      </c>
      <c r="M35" s="28" t="str">
        <f t="shared" si="2"/>
        <v>OK</v>
      </c>
      <c r="N35" s="28"/>
    </row>
    <row r="36" spans="1:14" x14ac:dyDescent="0.3">
      <c r="A36" s="27" t="str">
        <f>Conciliacao!B36</f>
        <v>2050</v>
      </c>
      <c r="B36" s="27" t="str">
        <f>Conciliacao!D36</f>
        <v>SHOPPING DAS PERSIANAS</v>
      </c>
      <c r="C36" s="28" t="str">
        <f>IFERROR(INDEX(CP_Setembro!$C$5:$C$126,MATCH("F|"&amp;A36,CP_Setembro!$A$5:$A$126,0)),"NÃO ENCONTRADA")</f>
        <v>SHOPPING DAS PERSIANAS CAMPINAS LTDA</v>
      </c>
      <c r="D36" s="29">
        <f>Conciliacao!E36</f>
        <v>1296</v>
      </c>
      <c r="E36" s="30">
        <f>IFERROR(INDEX(CP_Setembro!$I$5:$I$126,MATCH("F|"&amp;A36,CP_Setembro!$A$5:$A$126,0)),0)</f>
        <v>1296</v>
      </c>
      <c r="F36" s="30">
        <f t="shared" si="0"/>
        <v>0</v>
      </c>
      <c r="G36" s="29">
        <f>Conciliacao!F36</f>
        <v>1296</v>
      </c>
      <c r="H36" s="30">
        <f>IFERROR(INDEX(CP_Setembro!$M$5:$M$126,MATCH("F|"&amp;A36,CP_Setembro!$A$5:$A$126,0)),0)</f>
        <v>1296</v>
      </c>
      <c r="I36" s="30">
        <f t="shared" si="1"/>
        <v>0</v>
      </c>
      <c r="J36" s="30">
        <f>IFERROR(INDEX(CP_Setembro!$K$5:$K$126,MATCH("F|"&amp;A36,CP_Setembro!$A$5:$A$126,0)),0)</f>
        <v>0</v>
      </c>
      <c r="K36" s="30">
        <f>IFERROR(INDEX(CP_Setembro!$L$5:$L$126,MATCH("F|"&amp;A36,CP_Setembro!$A$5:$A$126,0)),0)</f>
        <v>0</v>
      </c>
      <c r="L36" s="30">
        <f>IFERROR(INDEX(CP_Setembro!$J$5:$J$126,MATCH("F|"&amp;A36,CP_Setembro!$A$5:$A$126,0)),0)</f>
        <v>0</v>
      </c>
      <c r="M36" s="28" t="str">
        <f t="shared" si="2"/>
        <v>OK</v>
      </c>
      <c r="N36" s="28"/>
    </row>
    <row r="37" spans="1:14" x14ac:dyDescent="0.3">
      <c r="A37" s="27" t="str">
        <f>Conciliacao!B37</f>
        <v>383403</v>
      </c>
      <c r="B37" s="27" t="str">
        <f>Conciliacao!D37</f>
        <v>PETROCAMP DERIVADOS</v>
      </c>
      <c r="C37" s="28" t="str">
        <f>IFERROR(INDEX(CP_Setembro!$C$5:$C$126,MATCH("F|"&amp;A37,CP_Setembro!$A$5:$A$126,0)),"NÃO ENCONTRADA")</f>
        <v>PETROCAMP DERIVADOS DE PETROLEO LTDA</v>
      </c>
      <c r="D37" s="29">
        <f>Conciliacao!E37</f>
        <v>24320</v>
      </c>
      <c r="E37" s="30">
        <f>IFERROR(INDEX(CP_Setembro!$I$5:$I$126,MATCH("F|"&amp;A37,CP_Setembro!$A$5:$A$126,0)),0)</f>
        <v>24320</v>
      </c>
      <c r="F37" s="30">
        <f t="shared" ref="F37:F68" si="3">D37-E37</f>
        <v>0</v>
      </c>
      <c r="G37" s="29">
        <f>Conciliacao!F37</f>
        <v>24320</v>
      </c>
      <c r="H37" s="30">
        <f>IFERROR(INDEX(CP_Setembro!$M$5:$M$126,MATCH("F|"&amp;A37,CP_Setembro!$A$5:$A$126,0)),0)</f>
        <v>24320</v>
      </c>
      <c r="I37" s="30">
        <f t="shared" ref="I37:I68" si="4">G37-H37</f>
        <v>0</v>
      </c>
      <c r="J37" s="30">
        <f>IFERROR(INDEX(CP_Setembro!$K$5:$K$126,MATCH("F|"&amp;A37,CP_Setembro!$A$5:$A$126,0)),0)</f>
        <v>0</v>
      </c>
      <c r="K37" s="30">
        <f>IFERROR(INDEX(CP_Setembro!$L$5:$L$126,MATCH("F|"&amp;A37,CP_Setembro!$A$5:$A$126,0)),0)</f>
        <v>0</v>
      </c>
      <c r="L37" s="30">
        <f>IFERROR(INDEX(CP_Setembro!$J$5:$J$126,MATCH("F|"&amp;A37,CP_Setembro!$A$5:$A$126,0)),0)</f>
        <v>0</v>
      </c>
      <c r="M37" s="28" t="str">
        <f t="shared" ref="M37:M68" si="5">IF(C37="NÃO ENCONTRADA","NÃO ENCONTRADA",IF(AND(ABS(F37)&lt;0.005,ABS(I37)&lt;0.005),"OK","DIVERGE"))</f>
        <v>OK</v>
      </c>
      <c r="N37" s="28"/>
    </row>
    <row r="38" spans="1:14" x14ac:dyDescent="0.3">
      <c r="A38" s="27" t="str">
        <f>Conciliacao!B38</f>
        <v>383526</v>
      </c>
      <c r="B38" s="27" t="str">
        <f>Conciliacao!D38</f>
        <v>PETROCAMP DERIVADOS</v>
      </c>
      <c r="C38" s="28" t="str">
        <f>IFERROR(INDEX(CP_Setembro!$C$5:$C$126,MATCH("F|"&amp;A38,CP_Setembro!$A$5:$A$126,0)),"NÃO ENCONTRADA")</f>
        <v>PETROCAMP DERIVADOS DE PETROLEO LTDA</v>
      </c>
      <c r="D38" s="29">
        <f>Conciliacao!E38</f>
        <v>18240</v>
      </c>
      <c r="E38" s="30">
        <f>IFERROR(INDEX(CP_Setembro!$I$5:$I$126,MATCH("F|"&amp;A38,CP_Setembro!$A$5:$A$126,0)),0)</f>
        <v>18240</v>
      </c>
      <c r="F38" s="30">
        <f t="shared" si="3"/>
        <v>0</v>
      </c>
      <c r="G38" s="29">
        <f>Conciliacao!F38</f>
        <v>18240</v>
      </c>
      <c r="H38" s="30">
        <f>IFERROR(INDEX(CP_Setembro!$M$5:$M$126,MATCH("F|"&amp;A38,CP_Setembro!$A$5:$A$126,0)),0)</f>
        <v>18240</v>
      </c>
      <c r="I38" s="30">
        <f t="shared" si="4"/>
        <v>0</v>
      </c>
      <c r="J38" s="30">
        <f>IFERROR(INDEX(CP_Setembro!$K$5:$K$126,MATCH("F|"&amp;A38,CP_Setembro!$A$5:$A$126,0)),0)</f>
        <v>0</v>
      </c>
      <c r="K38" s="30">
        <f>IFERROR(INDEX(CP_Setembro!$L$5:$L$126,MATCH("F|"&amp;A38,CP_Setembro!$A$5:$A$126,0)),0)</f>
        <v>0</v>
      </c>
      <c r="L38" s="30">
        <f>IFERROR(INDEX(CP_Setembro!$J$5:$J$126,MATCH("F|"&amp;A38,CP_Setembro!$A$5:$A$126,0)),0)</f>
        <v>0</v>
      </c>
      <c r="M38" s="28" t="str">
        <f t="shared" si="5"/>
        <v>OK</v>
      </c>
      <c r="N38" s="28"/>
    </row>
    <row r="39" spans="1:14" x14ac:dyDescent="0.3">
      <c r="A39" s="27" t="str">
        <f>Conciliacao!B39</f>
        <v>51016</v>
      </c>
      <c r="B39" s="27" t="str">
        <f>Conciliacao!D39</f>
        <v>ITUPETRO COMERCIO</v>
      </c>
      <c r="C39" s="28" t="str">
        <f>IFERROR(INDEX(CP_Setembro!$C$5:$C$126,MATCH("F|"&amp;A39,CP_Setembro!$A$5:$A$126,0)),"NÃO ENCONTRADA")</f>
        <v>ITUPETRO-COMERCIO E TRANSPORTE DE DERIV.PETROLEO LTDA.</v>
      </c>
      <c r="D39" s="29">
        <f>Conciliacao!E39</f>
        <v>30300</v>
      </c>
      <c r="E39" s="30">
        <f>IFERROR(INDEX(CP_Setembro!$I$5:$I$126,MATCH("F|"&amp;A39,CP_Setembro!$A$5:$A$126,0)),0)</f>
        <v>30300</v>
      </c>
      <c r="F39" s="30">
        <f t="shared" si="3"/>
        <v>0</v>
      </c>
      <c r="G39" s="29">
        <f>Conciliacao!F39</f>
        <v>30300</v>
      </c>
      <c r="H39" s="30">
        <f>IFERROR(INDEX(CP_Setembro!$M$5:$M$126,MATCH("F|"&amp;A39,CP_Setembro!$A$5:$A$126,0)),0)</f>
        <v>30300</v>
      </c>
      <c r="I39" s="30">
        <f t="shared" si="4"/>
        <v>0</v>
      </c>
      <c r="J39" s="30">
        <f>IFERROR(INDEX(CP_Setembro!$K$5:$K$126,MATCH("F|"&amp;A39,CP_Setembro!$A$5:$A$126,0)),0)</f>
        <v>0</v>
      </c>
      <c r="K39" s="30">
        <f>IFERROR(INDEX(CP_Setembro!$L$5:$L$126,MATCH("F|"&amp;A39,CP_Setembro!$A$5:$A$126,0)),0)</f>
        <v>0</v>
      </c>
      <c r="L39" s="30">
        <f>IFERROR(INDEX(CP_Setembro!$J$5:$J$126,MATCH("F|"&amp;A39,CP_Setembro!$A$5:$A$126,0)),0)</f>
        <v>0</v>
      </c>
      <c r="M39" s="28" t="str">
        <f t="shared" si="5"/>
        <v>OK</v>
      </c>
      <c r="N39" s="28"/>
    </row>
    <row r="40" spans="1:14" x14ac:dyDescent="0.3">
      <c r="A40" s="27" t="str">
        <f>Conciliacao!B40</f>
        <v>37535</v>
      </c>
      <c r="B40" s="27" t="str">
        <f>Conciliacao!D40</f>
        <v>AGUAJATO TRANSPORTES</v>
      </c>
      <c r="C40" s="28" t="str">
        <f>IFERROR(INDEX(CP_Setembro!$C$5:$C$126,MATCH("F|"&amp;A40,CP_Setembro!$A$5:$A$126,0)),"NÃO ENCONTRADA")</f>
        <v>AGUAJATO TRANSPORTES LTDA</v>
      </c>
      <c r="D40" s="29">
        <f>Conciliacao!E40</f>
        <v>2250</v>
      </c>
      <c r="E40" s="30">
        <f>IFERROR(INDEX(CP_Setembro!$I$5:$I$126,MATCH("F|"&amp;A40,CP_Setembro!$A$5:$A$126,0)),0)</f>
        <v>2250</v>
      </c>
      <c r="F40" s="30">
        <f t="shared" si="3"/>
        <v>0</v>
      </c>
      <c r="G40" s="29">
        <f>Conciliacao!F40</f>
        <v>2137.5</v>
      </c>
      <c r="H40" s="30">
        <f>IFERROR(INDEX(CP_Setembro!$M$5:$M$126,MATCH("F|"&amp;A40,CP_Setembro!$A$5:$A$126,0)),0)</f>
        <v>2137.5</v>
      </c>
      <c r="I40" s="30">
        <f t="shared" si="4"/>
        <v>0</v>
      </c>
      <c r="J40" s="30">
        <f>IFERROR(INDEX(CP_Setembro!$K$5:$K$126,MATCH("F|"&amp;A40,CP_Setembro!$A$5:$A$126,0)),0)</f>
        <v>0</v>
      </c>
      <c r="K40" s="30">
        <f>IFERROR(INDEX(CP_Setembro!$L$5:$L$126,MATCH("F|"&amp;A40,CP_Setembro!$A$5:$A$126,0)),0)</f>
        <v>0</v>
      </c>
      <c r="L40" s="30">
        <f>IFERROR(INDEX(CP_Setembro!$J$5:$J$126,MATCH("F|"&amp;A40,CP_Setembro!$A$5:$A$126,0)),0)</f>
        <v>112.5</v>
      </c>
      <c r="M40" s="28" t="str">
        <f t="shared" si="5"/>
        <v>OK</v>
      </c>
      <c r="N40" s="28"/>
    </row>
    <row r="41" spans="1:14" x14ac:dyDescent="0.3">
      <c r="A41" s="27" t="str">
        <f>Conciliacao!B41</f>
        <v>51185</v>
      </c>
      <c r="B41" s="27" t="str">
        <f>Conciliacao!D41</f>
        <v>ITUPETRO COMERCIO</v>
      </c>
      <c r="C41" s="28" t="str">
        <f>IFERROR(INDEX(CP_Setembro!$C$5:$C$126,MATCH("F|"&amp;A41,CP_Setembro!$A$5:$A$126,0)),"NÃO ENCONTRADA")</f>
        <v>ITUPETRO-COMERCIO E TRANSPORTE DE DERIV.PETROLEO LTDA.</v>
      </c>
      <c r="D41" s="29">
        <f>Conciliacao!E41</f>
        <v>24480</v>
      </c>
      <c r="E41" s="30">
        <f>IFERROR(INDEX(CP_Setembro!$I$5:$I$126,MATCH("F|"&amp;A41,CP_Setembro!$A$5:$A$126,0)),0)</f>
        <v>24480</v>
      </c>
      <c r="F41" s="30">
        <f t="shared" si="3"/>
        <v>0</v>
      </c>
      <c r="G41" s="29">
        <f>Conciliacao!F41</f>
        <v>24480</v>
      </c>
      <c r="H41" s="30">
        <f>IFERROR(INDEX(CP_Setembro!$M$5:$M$126,MATCH("F|"&amp;A41,CP_Setembro!$A$5:$A$126,0)),0)</f>
        <v>24480</v>
      </c>
      <c r="I41" s="30">
        <f t="shared" si="4"/>
        <v>0</v>
      </c>
      <c r="J41" s="30">
        <f>IFERROR(INDEX(CP_Setembro!$K$5:$K$126,MATCH("F|"&amp;A41,CP_Setembro!$A$5:$A$126,0)),0)</f>
        <v>0</v>
      </c>
      <c r="K41" s="30">
        <f>IFERROR(INDEX(CP_Setembro!$L$5:$L$126,MATCH("F|"&amp;A41,CP_Setembro!$A$5:$A$126,0)),0)</f>
        <v>0</v>
      </c>
      <c r="L41" s="30">
        <f>IFERROR(INDEX(CP_Setembro!$J$5:$J$126,MATCH("F|"&amp;A41,CP_Setembro!$A$5:$A$126,0)),0)</f>
        <v>0</v>
      </c>
      <c r="M41" s="28" t="str">
        <f t="shared" si="5"/>
        <v>OK</v>
      </c>
      <c r="N41" s="28"/>
    </row>
    <row r="42" spans="1:14" x14ac:dyDescent="0.3">
      <c r="A42" s="27" t="str">
        <f>Conciliacao!B42</f>
        <v>9181</v>
      </c>
      <c r="B42" s="27" t="str">
        <f>Conciliacao!D42</f>
        <v>F4 MATERIAIS DE CONSTRUÇÃO</v>
      </c>
      <c r="C42" s="28" t="str">
        <f>IFERROR(INDEX(CP_Setembro!$C$5:$C$126,MATCH("F|"&amp;A42,CP_Setembro!$A$5:$A$126,0)),"NÃO ENCONTRADA")</f>
        <v>F4 MATERIAIS DE CONSTRUCOES LTDA</v>
      </c>
      <c r="D42" s="29">
        <f>Conciliacao!E42</f>
        <v>15434.5</v>
      </c>
      <c r="E42" s="30">
        <f>IFERROR(INDEX(CP_Setembro!$I$5:$I$126,MATCH("F|"&amp;A42,CP_Setembro!$A$5:$A$126,0)),0)</f>
        <v>15431.8</v>
      </c>
      <c r="F42" s="30">
        <f t="shared" si="3"/>
        <v>2.7000000000007276</v>
      </c>
      <c r="G42" s="29">
        <f>Conciliacao!F42</f>
        <v>15434.5</v>
      </c>
      <c r="H42" s="30">
        <f>IFERROR(INDEX(CP_Setembro!$M$5:$M$126,MATCH("F|"&amp;A42,CP_Setembro!$A$5:$A$126,0)),0)</f>
        <v>15434.5</v>
      </c>
      <c r="I42" s="30">
        <f t="shared" si="4"/>
        <v>0</v>
      </c>
      <c r="J42" s="30">
        <f>IFERROR(INDEX(CP_Setembro!$K$5:$K$126,MATCH("F|"&amp;A42,CP_Setembro!$A$5:$A$126,0)),0)</f>
        <v>0</v>
      </c>
      <c r="K42" s="30">
        <f>IFERROR(INDEX(CP_Setembro!$L$5:$L$126,MATCH("F|"&amp;A42,CP_Setembro!$A$5:$A$126,0)),0)</f>
        <v>2.7</v>
      </c>
      <c r="L42" s="30">
        <f>IFERROR(INDEX(CP_Setembro!$J$5:$J$126,MATCH("F|"&amp;A42,CP_Setembro!$A$5:$A$126,0)),0)</f>
        <v>0</v>
      </c>
      <c r="M42" s="28" t="str">
        <f t="shared" si="5"/>
        <v>DIVERGE</v>
      </c>
      <c r="N42" s="28" t="s">
        <v>532</v>
      </c>
    </row>
    <row r="43" spans="1:14" x14ac:dyDescent="0.3">
      <c r="A43" s="27" t="str">
        <f>Conciliacao!B43</f>
        <v>51243</v>
      </c>
      <c r="B43" s="27" t="str">
        <f>Conciliacao!D43</f>
        <v>ITUPETRO COMERCIO</v>
      </c>
      <c r="C43" s="28" t="str">
        <f>IFERROR(INDEX(CP_Setembro!$C$5:$C$126,MATCH("F|"&amp;A43,CP_Setembro!$A$5:$A$126,0)),"NÃO ENCONTRADA")</f>
        <v>ITUPETRO-COMERCIO E TRANSPORTE DE DERIV.PETROLEO LTDA.</v>
      </c>
      <c r="D43" s="29">
        <f>Conciliacao!E43</f>
        <v>31050</v>
      </c>
      <c r="E43" s="30">
        <f>IFERROR(INDEX(CP_Setembro!$I$5:$I$126,MATCH("F|"&amp;A43,CP_Setembro!$A$5:$A$126,0)),0)</f>
        <v>31050</v>
      </c>
      <c r="F43" s="30">
        <f t="shared" si="3"/>
        <v>0</v>
      </c>
      <c r="G43" s="29">
        <f>Conciliacao!F43</f>
        <v>31050</v>
      </c>
      <c r="H43" s="30">
        <f>IFERROR(INDEX(CP_Setembro!$M$5:$M$126,MATCH("F|"&amp;A43,CP_Setembro!$A$5:$A$126,0)),0)</f>
        <v>31050</v>
      </c>
      <c r="I43" s="30">
        <f t="shared" si="4"/>
        <v>0</v>
      </c>
      <c r="J43" s="30">
        <f>IFERROR(INDEX(CP_Setembro!$K$5:$K$126,MATCH("F|"&amp;A43,CP_Setembro!$A$5:$A$126,0)),0)</f>
        <v>0</v>
      </c>
      <c r="K43" s="30">
        <f>IFERROR(INDEX(CP_Setembro!$L$5:$L$126,MATCH("F|"&amp;A43,CP_Setembro!$A$5:$A$126,0)),0)</f>
        <v>0</v>
      </c>
      <c r="L43" s="30">
        <f>IFERROR(INDEX(CP_Setembro!$J$5:$J$126,MATCH("F|"&amp;A43,CP_Setembro!$A$5:$A$126,0)),0)</f>
        <v>0</v>
      </c>
      <c r="M43" s="28" t="str">
        <f t="shared" si="5"/>
        <v>OK</v>
      </c>
      <c r="N43" s="28"/>
    </row>
    <row r="44" spans="1:14" x14ac:dyDescent="0.3">
      <c r="A44" s="27" t="str">
        <f>Conciliacao!B44</f>
        <v>51328</v>
      </c>
      <c r="B44" s="27" t="str">
        <f>Conciliacao!D44</f>
        <v>ITUPETRO COMERCIO</v>
      </c>
      <c r="C44" s="28" t="str">
        <f>IFERROR(INDEX(CP_Setembro!$C$5:$C$126,MATCH("F|"&amp;A44,CP_Setembro!$A$5:$A$126,0)),"NÃO ENCONTRADA")</f>
        <v>ITUPETRO-COMERCIO E TRANSPORTE DE DERIV.PETROLEO LTDA.</v>
      </c>
      <c r="D44" s="29">
        <f>Conciliacao!E44</f>
        <v>12320</v>
      </c>
      <c r="E44" s="30">
        <f>IFERROR(INDEX(CP_Setembro!$I$5:$I$126,MATCH("F|"&amp;A44,CP_Setembro!$A$5:$A$126,0)),0)</f>
        <v>12320</v>
      </c>
      <c r="F44" s="30">
        <f t="shared" si="3"/>
        <v>0</v>
      </c>
      <c r="G44" s="29">
        <f>Conciliacao!F44</f>
        <v>12320</v>
      </c>
      <c r="H44" s="30">
        <f>IFERROR(INDEX(CP_Setembro!$M$5:$M$126,MATCH("F|"&amp;A44,CP_Setembro!$A$5:$A$126,0)),0)</f>
        <v>12320</v>
      </c>
      <c r="I44" s="30">
        <f t="shared" si="4"/>
        <v>0</v>
      </c>
      <c r="J44" s="30">
        <f>IFERROR(INDEX(CP_Setembro!$K$5:$K$126,MATCH("F|"&amp;A44,CP_Setembro!$A$5:$A$126,0)),0)</f>
        <v>0</v>
      </c>
      <c r="K44" s="30">
        <f>IFERROR(INDEX(CP_Setembro!$L$5:$L$126,MATCH("F|"&amp;A44,CP_Setembro!$A$5:$A$126,0)),0)</f>
        <v>0</v>
      </c>
      <c r="L44" s="30">
        <f>IFERROR(INDEX(CP_Setembro!$J$5:$J$126,MATCH("F|"&amp;A44,CP_Setembro!$A$5:$A$126,0)),0)</f>
        <v>0</v>
      </c>
      <c r="M44" s="28" t="str">
        <f t="shared" si="5"/>
        <v>OK</v>
      </c>
      <c r="N44" s="28"/>
    </row>
    <row r="45" spans="1:14" x14ac:dyDescent="0.3">
      <c r="A45" s="27" t="str">
        <f>Conciliacao!B45</f>
        <v>81763</v>
      </c>
      <c r="B45" s="27" t="str">
        <f>Conciliacao!D45</f>
        <v>MULTI MAQUINAS</v>
      </c>
      <c r="C45" s="28" t="str">
        <f>IFERROR(INDEX(CP_Setembro!$C$5:$C$126,MATCH("F|"&amp;A45,CP_Setembro!$A$5:$A$126,0)),"NÃO ENCONTRADA")</f>
        <v>MULTIMAQUINAS LOCACAO DE MAQUINAS E EQUIPAMENTOS LTDA</v>
      </c>
      <c r="D45" s="29">
        <f>Conciliacao!E45</f>
        <v>1196</v>
      </c>
      <c r="E45" s="30">
        <f>IFERROR(INDEX(CP_Setembro!$I$5:$I$126,MATCH("F|"&amp;A45,CP_Setembro!$A$5:$A$126,0)),0)</f>
        <v>1196</v>
      </c>
      <c r="F45" s="30">
        <f t="shared" si="3"/>
        <v>0</v>
      </c>
      <c r="G45" s="29">
        <f>Conciliacao!F45</f>
        <v>1196</v>
      </c>
      <c r="H45" s="30">
        <f>IFERROR(INDEX(CP_Setembro!$M$5:$M$126,MATCH("F|"&amp;A45,CP_Setembro!$A$5:$A$126,0)),0)</f>
        <v>1196</v>
      </c>
      <c r="I45" s="30">
        <f t="shared" si="4"/>
        <v>0</v>
      </c>
      <c r="J45" s="30">
        <f>IFERROR(INDEX(CP_Setembro!$K$5:$K$126,MATCH("F|"&amp;A45,CP_Setembro!$A$5:$A$126,0)),0)</f>
        <v>0</v>
      </c>
      <c r="K45" s="30">
        <f>IFERROR(INDEX(CP_Setembro!$L$5:$L$126,MATCH("F|"&amp;A45,CP_Setembro!$A$5:$A$126,0)),0)</f>
        <v>0</v>
      </c>
      <c r="L45" s="30">
        <f>IFERROR(INDEX(CP_Setembro!$J$5:$J$126,MATCH("F|"&amp;A45,CP_Setembro!$A$5:$A$126,0)),0)</f>
        <v>0</v>
      </c>
      <c r="M45" s="28" t="str">
        <f t="shared" si="5"/>
        <v>OK</v>
      </c>
      <c r="N45" s="28"/>
    </row>
    <row r="46" spans="1:14" x14ac:dyDescent="0.3">
      <c r="A46" s="27" t="str">
        <f>Conciliacao!B46</f>
        <v>1088</v>
      </c>
      <c r="B46" s="27" t="str">
        <f>Conciliacao!D46</f>
        <v>BRUNO GOMES</v>
      </c>
      <c r="C46" s="28" t="str">
        <f>IFERROR(INDEX(CP_Setembro!$C$5:$C$126,MATCH("F|"&amp;A46,CP_Setembro!$A$5:$A$126,0)),"NÃO ENCONTRADA")</f>
        <v>BRUNO GOMES FERREIRA</v>
      </c>
      <c r="D46" s="29">
        <f>Conciliacao!E46</f>
        <v>1500</v>
      </c>
      <c r="E46" s="30">
        <f>IFERROR(INDEX(CP_Setembro!$I$5:$I$126,MATCH("F|"&amp;A46,CP_Setembro!$A$5:$A$126,0)),0)</f>
        <v>1500</v>
      </c>
      <c r="F46" s="30">
        <f t="shared" si="3"/>
        <v>0</v>
      </c>
      <c r="G46" s="29">
        <f>Conciliacao!F46</f>
        <v>1457.73</v>
      </c>
      <c r="H46" s="30">
        <f>IFERROR(INDEX(CP_Setembro!$M$5:$M$126,MATCH("F|"&amp;A46,CP_Setembro!$A$5:$A$126,0)),0)</f>
        <v>1457.73</v>
      </c>
      <c r="I46" s="30">
        <f t="shared" si="4"/>
        <v>0</v>
      </c>
      <c r="J46" s="30">
        <f>IFERROR(INDEX(CP_Setembro!$K$5:$K$126,MATCH("F|"&amp;A46,CP_Setembro!$A$5:$A$126,0)),0)</f>
        <v>0</v>
      </c>
      <c r="K46" s="30">
        <f>IFERROR(INDEX(CP_Setembro!$L$5:$L$126,MATCH("F|"&amp;A46,CP_Setembro!$A$5:$A$126,0)),0)</f>
        <v>0</v>
      </c>
      <c r="L46" s="30">
        <f>IFERROR(INDEX(CP_Setembro!$J$5:$J$126,MATCH("F|"&amp;A46,CP_Setembro!$A$5:$A$126,0)),0)</f>
        <v>42.27</v>
      </c>
      <c r="M46" s="28" t="str">
        <f t="shared" si="5"/>
        <v>OK</v>
      </c>
      <c r="N46" s="28"/>
    </row>
    <row r="47" spans="1:14" x14ac:dyDescent="0.3">
      <c r="A47" s="27" t="str">
        <f>Conciliacao!B47</f>
        <v>51421</v>
      </c>
      <c r="B47" s="27" t="str">
        <f>Conciliacao!D47</f>
        <v>ITUPETRO COMERCIO</v>
      </c>
      <c r="C47" s="28" t="str">
        <f>IFERROR(INDEX(CP_Setembro!$C$5:$C$126,MATCH("F|"&amp;A47,CP_Setembro!$A$5:$A$126,0)),"NÃO ENCONTRADA")</f>
        <v>ITUPETRO-COMERCIO E TRANSPORTE DE DERIV.PETROLEO LTDA.</v>
      </c>
      <c r="D47" s="29">
        <f>Conciliacao!E47</f>
        <v>18540</v>
      </c>
      <c r="E47" s="30">
        <f>IFERROR(INDEX(CP_Setembro!$I$5:$I$126,MATCH("F|"&amp;A47,CP_Setembro!$A$5:$A$126,0)),0)</f>
        <v>18540</v>
      </c>
      <c r="F47" s="30">
        <f t="shared" si="3"/>
        <v>0</v>
      </c>
      <c r="G47" s="29">
        <f>Conciliacao!F47</f>
        <v>18540</v>
      </c>
      <c r="H47" s="30">
        <f>IFERROR(INDEX(CP_Setembro!$M$5:$M$126,MATCH("F|"&amp;A47,CP_Setembro!$A$5:$A$126,0)),0)</f>
        <v>18540</v>
      </c>
      <c r="I47" s="30">
        <f t="shared" si="4"/>
        <v>0</v>
      </c>
      <c r="J47" s="30">
        <f>IFERROR(INDEX(CP_Setembro!$K$5:$K$126,MATCH("F|"&amp;A47,CP_Setembro!$A$5:$A$126,0)),0)</f>
        <v>0</v>
      </c>
      <c r="K47" s="30">
        <f>IFERROR(INDEX(CP_Setembro!$L$5:$L$126,MATCH("F|"&amp;A47,CP_Setembro!$A$5:$A$126,0)),0)</f>
        <v>0</v>
      </c>
      <c r="L47" s="30">
        <f>IFERROR(INDEX(CP_Setembro!$J$5:$J$126,MATCH("F|"&amp;A47,CP_Setembro!$A$5:$A$126,0)),0)</f>
        <v>0</v>
      </c>
      <c r="M47" s="28" t="str">
        <f t="shared" si="5"/>
        <v>OK</v>
      </c>
      <c r="N47" s="28"/>
    </row>
    <row r="48" spans="1:14" x14ac:dyDescent="0.3">
      <c r="A48" s="27" t="str">
        <f>Conciliacao!B48</f>
        <v>1468</v>
      </c>
      <c r="B48" s="27" t="str">
        <f>Conciliacao!D48</f>
        <v>S.A DA SILVA EVENTOS</v>
      </c>
      <c r="C48" s="28" t="str">
        <f>IFERROR(INDEX(CP_Setembro!$C$5:$C$126,MATCH("F|"&amp;A48,CP_Setembro!$A$5:$A$126,0)),"NÃO ENCONTRADA")</f>
        <v>S A DA SILVA EVENTOS CORPORATIVOS E EQUIPAMENTOS</v>
      </c>
      <c r="D48" s="29">
        <f>Conciliacao!E48</f>
        <v>12298.92</v>
      </c>
      <c r="E48" s="30">
        <f>IFERROR(INDEX(CP_Setembro!$I$5:$I$126,MATCH("F|"&amp;A48,CP_Setembro!$A$5:$A$126,0)),0)</f>
        <v>12298.9</v>
      </c>
      <c r="F48" s="30">
        <f t="shared" si="3"/>
        <v>2.0000000000436557E-2</v>
      </c>
      <c r="G48" s="29">
        <f>Conciliacao!F48</f>
        <v>12298.92</v>
      </c>
      <c r="H48" s="30">
        <f>IFERROR(INDEX(CP_Setembro!$M$5:$M$126,MATCH("F|"&amp;A48,CP_Setembro!$A$5:$A$126,0)),0)</f>
        <v>12298.92</v>
      </c>
      <c r="I48" s="30">
        <f t="shared" si="4"/>
        <v>0</v>
      </c>
      <c r="J48" s="30">
        <f>IFERROR(INDEX(CP_Setembro!$K$5:$K$126,MATCH("F|"&amp;A48,CP_Setembro!$A$5:$A$126,0)),0)</f>
        <v>0</v>
      </c>
      <c r="K48" s="30">
        <f>IFERROR(INDEX(CP_Setembro!$L$5:$L$126,MATCH("F|"&amp;A48,CP_Setembro!$A$5:$A$126,0)),0)</f>
        <v>0.02</v>
      </c>
      <c r="L48" s="30">
        <f>IFERROR(INDEX(CP_Setembro!$J$5:$J$126,MATCH("F|"&amp;A48,CP_Setembro!$A$5:$A$126,0)),0)</f>
        <v>0</v>
      </c>
      <c r="M48" s="28" t="str">
        <f t="shared" si="5"/>
        <v>DIVERGE</v>
      </c>
      <c r="N48" s="28" t="s">
        <v>533</v>
      </c>
    </row>
    <row r="49" spans="1:14" x14ac:dyDescent="0.3">
      <c r="A49" s="27" t="str">
        <f>Conciliacao!B49</f>
        <v>3620616</v>
      </c>
      <c r="B49" s="27" t="str">
        <f>Conciliacao!D49</f>
        <v>GERDAU AÇOS MINAS</v>
      </c>
      <c r="C49" s="28" t="str">
        <f>IFERROR(INDEX(CP_Setembro!$C$5:$C$126,MATCH("F|"&amp;A49,CP_Setembro!$A$5:$A$126,0)),"NÃO ENCONTRADA")</f>
        <v>GERDAU ACOMINAS SA</v>
      </c>
      <c r="D49" s="29">
        <f>Conciliacao!E49</f>
        <v>166108.31</v>
      </c>
      <c r="E49" s="30">
        <f>IFERROR(INDEX(CP_Setembro!$I$5:$I$126,MATCH("F|"&amp;A49,CP_Setembro!$A$5:$A$126,0)),0)</f>
        <v>166108.31</v>
      </c>
      <c r="F49" s="30">
        <f t="shared" si="3"/>
        <v>0</v>
      </c>
      <c r="G49" s="29">
        <f>Conciliacao!F49</f>
        <v>166108.31</v>
      </c>
      <c r="H49" s="30">
        <f>IFERROR(INDEX(CP_Setembro!$M$5:$M$126,MATCH("F|"&amp;A49,CP_Setembro!$A$5:$A$126,0)),0)</f>
        <v>166108.31</v>
      </c>
      <c r="I49" s="30">
        <f t="shared" si="4"/>
        <v>0</v>
      </c>
      <c r="J49" s="30">
        <f>IFERROR(INDEX(CP_Setembro!$K$5:$K$126,MATCH("F|"&amp;A49,CP_Setembro!$A$5:$A$126,0)),0)</f>
        <v>0</v>
      </c>
      <c r="K49" s="30">
        <f>IFERROR(INDEX(CP_Setembro!$L$5:$L$126,MATCH("F|"&amp;A49,CP_Setembro!$A$5:$A$126,0)),0)</f>
        <v>0</v>
      </c>
      <c r="L49" s="30">
        <f>IFERROR(INDEX(CP_Setembro!$J$5:$J$126,MATCH("F|"&amp;A49,CP_Setembro!$A$5:$A$126,0)),0)</f>
        <v>0</v>
      </c>
      <c r="M49" s="28" t="str">
        <f t="shared" si="5"/>
        <v>OK</v>
      </c>
      <c r="N49" s="28"/>
    </row>
    <row r="50" spans="1:14" x14ac:dyDescent="0.3">
      <c r="A50" s="27" t="str">
        <f>Conciliacao!B50</f>
        <v>273</v>
      </c>
      <c r="B50" s="27" t="str">
        <f>Conciliacao!D50</f>
        <v>RS VIGILANCIA</v>
      </c>
      <c r="C50" s="28" t="str">
        <f>IFERROR(INDEX(CP_Setembro!$C$5:$C$126,MATCH("F|"&amp;A50,CP_Setembro!$A$5:$A$126,0)),"NÃO ENCONTRADA")</f>
        <v>RS VIGILANCIA E SEGURANCA PRIVADA E CONSERVACAO</v>
      </c>
      <c r="D50" s="29">
        <f>Conciliacao!E50</f>
        <v>26070</v>
      </c>
      <c r="E50" s="30">
        <f>IFERROR(INDEX(CP_Setembro!$I$5:$I$126,MATCH("F|"&amp;A50,CP_Setembro!$A$5:$A$126,0)),0)</f>
        <v>26077.5</v>
      </c>
      <c r="F50" s="30">
        <f t="shared" si="3"/>
        <v>-7.5</v>
      </c>
      <c r="G50" s="29">
        <f>Conciliacao!F50</f>
        <v>24903.37</v>
      </c>
      <c r="H50" s="30">
        <f>IFERROR(INDEX(CP_Setembro!$M$5:$M$126,MATCH("F|"&amp;A50,CP_Setembro!$A$5:$A$126,0)),0)</f>
        <v>24903.37</v>
      </c>
      <c r="I50" s="30">
        <f t="shared" si="4"/>
        <v>0</v>
      </c>
      <c r="J50" s="30">
        <f>IFERROR(INDEX(CP_Setembro!$K$5:$K$126,MATCH("F|"&amp;A50,CP_Setembro!$A$5:$A$126,0)),0)</f>
        <v>7.5</v>
      </c>
      <c r="K50" s="30">
        <f>IFERROR(INDEX(CP_Setembro!$L$5:$L$126,MATCH("F|"&amp;A50,CP_Setembro!$A$5:$A$126,0)),0)</f>
        <v>0</v>
      </c>
      <c r="L50" s="30">
        <f>IFERROR(INDEX(CP_Setembro!$J$5:$J$126,MATCH("F|"&amp;A50,CP_Setembro!$A$5:$A$126,0)),0)</f>
        <v>1166.6300000000001</v>
      </c>
      <c r="M50" s="28" t="str">
        <f t="shared" si="5"/>
        <v>DIVERGE</v>
      </c>
      <c r="N50" s="28" t="s">
        <v>534</v>
      </c>
    </row>
    <row r="51" spans="1:14" x14ac:dyDescent="0.3">
      <c r="A51" s="27" t="str">
        <f>Conciliacao!B51</f>
        <v>635</v>
      </c>
      <c r="B51" s="27" t="str">
        <f>Conciliacao!D51</f>
        <v>GSA SERRALHERIA</v>
      </c>
      <c r="C51" s="28" t="str">
        <f>IFERROR(INDEX(CP_Setembro!$C$5:$C$126,MATCH("F|"&amp;A51,CP_Setembro!$A$5:$A$126,0)),"NÃO ENCONTRADA")</f>
        <v>GSA SERRALHERIA E COMUNICACAO VISUAL LTDA</v>
      </c>
      <c r="D51" s="29">
        <f>Conciliacao!E51</f>
        <v>3960</v>
      </c>
      <c r="E51" s="30">
        <f>IFERROR(INDEX(CP_Setembro!$I$5:$I$126,MATCH("F|"&amp;A51,CP_Setembro!$A$5:$A$126,0)),0)</f>
        <v>3960</v>
      </c>
      <c r="F51" s="30">
        <f t="shared" si="3"/>
        <v>0</v>
      </c>
      <c r="G51" s="29">
        <f>Conciliacao!F51</f>
        <v>3960</v>
      </c>
      <c r="H51" s="30">
        <f>IFERROR(INDEX(CP_Setembro!$M$5:$M$126,MATCH("F|"&amp;A51,CP_Setembro!$A$5:$A$126,0)),0)</f>
        <v>3960</v>
      </c>
      <c r="I51" s="30">
        <f t="shared" si="4"/>
        <v>0</v>
      </c>
      <c r="J51" s="30">
        <f>IFERROR(INDEX(CP_Setembro!$K$5:$K$126,MATCH("F|"&amp;A51,CP_Setembro!$A$5:$A$126,0)),0)</f>
        <v>0</v>
      </c>
      <c r="K51" s="30">
        <f>IFERROR(INDEX(CP_Setembro!$L$5:$L$126,MATCH("F|"&amp;A51,CP_Setembro!$A$5:$A$126,0)),0)</f>
        <v>0</v>
      </c>
      <c r="L51" s="30">
        <f>IFERROR(INDEX(CP_Setembro!$J$5:$J$126,MATCH("F|"&amp;A51,CP_Setembro!$A$5:$A$126,0)),0)</f>
        <v>0</v>
      </c>
      <c r="M51" s="28" t="str">
        <f t="shared" si="5"/>
        <v>OK</v>
      </c>
      <c r="N51" s="28"/>
    </row>
    <row r="52" spans="1:14" x14ac:dyDescent="0.3">
      <c r="A52" s="27" t="str">
        <f>Conciliacao!B52</f>
        <v>610</v>
      </c>
      <c r="B52" s="27" t="str">
        <f>Conciliacao!D52</f>
        <v>D PAULA TERRAPLANAGEM</v>
      </c>
      <c r="C52" s="28" t="str">
        <f>IFERROR(INDEX(CP_Setembro!$C$5:$C$126,MATCH("F|"&amp;A52,CP_Setembro!$A$5:$A$126,0)),"NÃO ENCONTRADA")</f>
        <v>D PAULA TERRAPLENAGEM E CONSTRUCAO CIVIL LTDA</v>
      </c>
      <c r="D52" s="29">
        <f>Conciliacao!E52</f>
        <v>222321.21</v>
      </c>
      <c r="E52" s="30">
        <f>IFERROR(INDEX(CP_Setembro!$I$5:$I$126,MATCH("F|"&amp;A52,CP_Setembro!$A$5:$A$126,0)),0)</f>
        <v>222321.21</v>
      </c>
      <c r="F52" s="30">
        <f t="shared" si="3"/>
        <v>0</v>
      </c>
      <c r="G52" s="29">
        <f>Conciliacao!F52</f>
        <v>222321.21</v>
      </c>
      <c r="H52" s="30">
        <f>IFERROR(INDEX(CP_Setembro!$M$5:$M$126,MATCH("F|"&amp;A52,CP_Setembro!$A$5:$A$126,0)),0)</f>
        <v>222321.21</v>
      </c>
      <c r="I52" s="30">
        <f t="shared" si="4"/>
        <v>0</v>
      </c>
      <c r="J52" s="30">
        <f>IFERROR(INDEX(CP_Setembro!$K$5:$K$126,MATCH("F|"&amp;A52,CP_Setembro!$A$5:$A$126,0)),0)</f>
        <v>0</v>
      </c>
      <c r="K52" s="30">
        <f>IFERROR(INDEX(CP_Setembro!$L$5:$L$126,MATCH("F|"&amp;A52,CP_Setembro!$A$5:$A$126,0)),0)</f>
        <v>0</v>
      </c>
      <c r="L52" s="30">
        <f>IFERROR(INDEX(CP_Setembro!$J$5:$J$126,MATCH("F|"&amp;A52,CP_Setembro!$A$5:$A$126,0)),0)</f>
        <v>0</v>
      </c>
      <c r="M52" s="28" t="str">
        <f t="shared" si="5"/>
        <v>OK</v>
      </c>
      <c r="N52" s="28"/>
    </row>
    <row r="53" spans="1:14" x14ac:dyDescent="0.3">
      <c r="A53" s="27" t="str">
        <f>Conciliacao!B53</f>
        <v>51</v>
      </c>
      <c r="B53" s="27" t="str">
        <f>Conciliacao!D53</f>
        <v>E.S. CONSTRUÇÃO</v>
      </c>
      <c r="C53" s="28" t="str">
        <f>IFERROR(INDEX(CP_Setembro!$C$5:$C$126,MATCH("F|"&amp;A53,CP_Setembro!$A$5:$A$126,0)),"NÃO ENCONTRADA")</f>
        <v>E.S CONSTRUCAO CIVIL E TERRAPLENAGEM LTDA</v>
      </c>
      <c r="D53" s="29">
        <f>Conciliacao!E53</f>
        <v>66407.63</v>
      </c>
      <c r="E53" s="30">
        <f>IFERROR(INDEX(CP_Setembro!$I$5:$I$126,MATCH("F|"&amp;A53,CP_Setembro!$A$5:$A$126,0)),0)</f>
        <v>66407.63</v>
      </c>
      <c r="F53" s="30">
        <f t="shared" si="3"/>
        <v>0</v>
      </c>
      <c r="G53" s="29">
        <f>Conciliacao!F53</f>
        <v>58086.75</v>
      </c>
      <c r="H53" s="30">
        <f>IFERROR(INDEX(CP_Setembro!$M$5:$M$126,MATCH("F|"&amp;A53,CP_Setembro!$A$5:$A$126,0)),0)</f>
        <v>58086.75</v>
      </c>
      <c r="I53" s="30">
        <f t="shared" si="4"/>
        <v>0</v>
      </c>
      <c r="J53" s="30">
        <f>IFERROR(INDEX(CP_Setembro!$K$5:$K$126,MATCH("F|"&amp;A53,CP_Setembro!$A$5:$A$126,0)),0)</f>
        <v>0</v>
      </c>
      <c r="K53" s="30">
        <f>IFERROR(INDEX(CP_Setembro!$L$5:$L$126,MATCH("F|"&amp;A53,CP_Setembro!$A$5:$A$126,0)),0)</f>
        <v>0</v>
      </c>
      <c r="L53" s="30">
        <f>IFERROR(INDEX(CP_Setembro!$J$5:$J$126,MATCH("F|"&amp;A53,CP_Setembro!$A$5:$A$126,0)),0)</f>
        <v>8320.8799999999992</v>
      </c>
      <c r="M53" s="28" t="str">
        <f t="shared" si="5"/>
        <v>OK</v>
      </c>
      <c r="N53" s="28"/>
    </row>
    <row r="54" spans="1:14" x14ac:dyDescent="0.3">
      <c r="A54" s="27" t="str">
        <f>Conciliacao!B54</f>
        <v>37681</v>
      </c>
      <c r="B54" s="27" t="str">
        <f>Conciliacao!D54</f>
        <v>AGUAJATO TRANSPORTES</v>
      </c>
      <c r="C54" s="28" t="str">
        <f>IFERROR(INDEX(CP_Setembro!$C$5:$C$126,MATCH("F|"&amp;A54,CP_Setembro!$A$5:$A$126,0)),"NÃO ENCONTRADA")</f>
        <v>AGUAJATO TRANSPORTES LTDA</v>
      </c>
      <c r="D54" s="29">
        <f>Conciliacao!E54</f>
        <v>3650</v>
      </c>
      <c r="E54" s="30">
        <f>IFERROR(INDEX(CP_Setembro!$I$5:$I$126,MATCH("F|"&amp;A54,CP_Setembro!$A$5:$A$126,0)),0)</f>
        <v>3650</v>
      </c>
      <c r="F54" s="30">
        <f t="shared" si="3"/>
        <v>0</v>
      </c>
      <c r="G54" s="29">
        <f>Conciliacao!F54</f>
        <v>3467.5</v>
      </c>
      <c r="H54" s="30">
        <f>IFERROR(INDEX(CP_Setembro!$M$5:$M$126,MATCH("F|"&amp;A54,CP_Setembro!$A$5:$A$126,0)),0)</f>
        <v>3467.5</v>
      </c>
      <c r="I54" s="30">
        <f t="shared" si="4"/>
        <v>0</v>
      </c>
      <c r="J54" s="30">
        <f>IFERROR(INDEX(CP_Setembro!$K$5:$K$126,MATCH("F|"&amp;A54,CP_Setembro!$A$5:$A$126,0)),0)</f>
        <v>0</v>
      </c>
      <c r="K54" s="30">
        <f>IFERROR(INDEX(CP_Setembro!$L$5:$L$126,MATCH("F|"&amp;A54,CP_Setembro!$A$5:$A$126,0)),0)</f>
        <v>0</v>
      </c>
      <c r="L54" s="30">
        <f>IFERROR(INDEX(CP_Setembro!$J$5:$J$126,MATCH("F|"&amp;A54,CP_Setembro!$A$5:$A$126,0)),0)</f>
        <v>182.5</v>
      </c>
      <c r="M54" s="28" t="str">
        <f t="shared" si="5"/>
        <v>OK</v>
      </c>
      <c r="N54" s="28"/>
    </row>
    <row r="55" spans="1:14" x14ac:dyDescent="0.3">
      <c r="A55" s="27" t="str">
        <f>Conciliacao!B55</f>
        <v>539</v>
      </c>
      <c r="B55" s="27" t="str">
        <f>Conciliacao!D55</f>
        <v>PETRA SOLUÇÕES</v>
      </c>
      <c r="C55" s="28" t="str">
        <f>IFERROR(INDEX(CP_Setembro!$C$5:$C$126,MATCH("F|"&amp;A55,CP_Setembro!$A$5:$A$126,0)),"NÃO ENCONTRADA")</f>
        <v>PETRA SOLUCOES AMBIENTAIS LTDA</v>
      </c>
      <c r="D55" s="29">
        <f>Conciliacao!E55</f>
        <v>67600</v>
      </c>
      <c r="E55" s="30">
        <f>IFERROR(INDEX(CP_Setembro!$I$5:$I$126,MATCH("F|"&amp;A55,CP_Setembro!$A$5:$A$126,0)),0)</f>
        <v>67600</v>
      </c>
      <c r="F55" s="30">
        <f t="shared" si="3"/>
        <v>0</v>
      </c>
      <c r="G55" s="29">
        <f>Conciliacao!F55</f>
        <v>67600</v>
      </c>
      <c r="H55" s="30">
        <f>IFERROR(INDEX(CP_Setembro!$M$5:$M$126,MATCH("F|"&amp;A55,CP_Setembro!$A$5:$A$126,0)),0)</f>
        <v>67600</v>
      </c>
      <c r="I55" s="30">
        <f t="shared" si="4"/>
        <v>0</v>
      </c>
      <c r="J55" s="30">
        <f>IFERROR(INDEX(CP_Setembro!$K$5:$K$126,MATCH("F|"&amp;A55,CP_Setembro!$A$5:$A$126,0)),0)</f>
        <v>0</v>
      </c>
      <c r="K55" s="30">
        <f>IFERROR(INDEX(CP_Setembro!$L$5:$L$126,MATCH("F|"&amp;A55,CP_Setembro!$A$5:$A$126,0)),0)</f>
        <v>0</v>
      </c>
      <c r="L55" s="30">
        <f>IFERROR(INDEX(CP_Setembro!$J$5:$J$126,MATCH("F|"&amp;A55,CP_Setembro!$A$5:$A$126,0)),0)</f>
        <v>0</v>
      </c>
      <c r="M55" s="28" t="str">
        <f t="shared" si="5"/>
        <v>OK</v>
      </c>
      <c r="N55" s="28"/>
    </row>
    <row r="56" spans="1:14" x14ac:dyDescent="0.3">
      <c r="A56" s="27" t="str">
        <f>Conciliacao!B56</f>
        <v>508</v>
      </c>
      <c r="B56" s="27" t="str">
        <f>Conciliacao!D56</f>
        <v>PADOVANI NETO</v>
      </c>
      <c r="C56" s="28" t="str">
        <f>IFERROR(INDEX(CP_Setembro!$C$5:$C$126,MATCH("F|"&amp;A56,CP_Setembro!$A$5:$A$126,0)),"NÃO ENCONTRADA")</f>
        <v>PADOVANI NETO ENGENHARIA LTDA</v>
      </c>
      <c r="D56" s="29">
        <f>Conciliacao!E56</f>
        <v>9400</v>
      </c>
      <c r="E56" s="30">
        <f>IFERROR(INDEX(CP_Setembro!$I$5:$I$126,MATCH("F|"&amp;A56,CP_Setembro!$A$5:$A$126,0)),0)</f>
        <v>9400</v>
      </c>
      <c r="F56" s="30">
        <f t="shared" si="3"/>
        <v>0</v>
      </c>
      <c r="G56" s="29">
        <f>Conciliacao!F56</f>
        <v>8131</v>
      </c>
      <c r="H56" s="30">
        <f>IFERROR(INDEX(CP_Setembro!$M$5:$M$126,MATCH("F|"&amp;A56,CP_Setembro!$A$5:$A$126,0)),0)</f>
        <v>8131</v>
      </c>
      <c r="I56" s="30">
        <f t="shared" si="4"/>
        <v>0</v>
      </c>
      <c r="J56" s="30">
        <f>IFERROR(INDEX(CP_Setembro!$K$5:$K$126,MATCH("F|"&amp;A56,CP_Setembro!$A$5:$A$126,0)),0)</f>
        <v>0</v>
      </c>
      <c r="K56" s="30">
        <f>IFERROR(INDEX(CP_Setembro!$L$5:$L$126,MATCH("F|"&amp;A56,CP_Setembro!$A$5:$A$126,0)),0)</f>
        <v>0</v>
      </c>
      <c r="L56" s="30">
        <f>IFERROR(INDEX(CP_Setembro!$J$5:$J$126,MATCH("F|"&amp;A56,CP_Setembro!$A$5:$A$126,0)),0)</f>
        <v>1269</v>
      </c>
      <c r="M56" s="28" t="str">
        <f t="shared" si="5"/>
        <v>OK</v>
      </c>
      <c r="N56" s="28"/>
    </row>
    <row r="57" spans="1:14" x14ac:dyDescent="0.3">
      <c r="A57" s="27" t="str">
        <f>Conciliacao!B57</f>
        <v>10498</v>
      </c>
      <c r="B57" s="27" t="str">
        <f>Conciliacao!D57</f>
        <v>CONCRELONGO SERVIÇOS</v>
      </c>
      <c r="C57" s="28" t="str">
        <f>IFERROR(INDEX(CP_Setembro!$C$5:$C$126,MATCH("F|"&amp;A57,CP_Setembro!$A$5:$A$126,0)),"NÃO ENCONTRADA")</f>
        <v>CONCRELONGO SERVICOS DE CONCRETAGEM LTDA</v>
      </c>
      <c r="D57" s="29">
        <f>Conciliacao!E57</f>
        <v>11400</v>
      </c>
      <c r="E57" s="30">
        <f>IFERROR(INDEX(CP_Setembro!$I$5:$I$126,MATCH("F|"&amp;A57,CP_Setembro!$A$5:$A$126,0)),0)</f>
        <v>11172.94</v>
      </c>
      <c r="F57" s="30">
        <f t="shared" si="3"/>
        <v>227.05999999999949</v>
      </c>
      <c r="G57" s="29">
        <f>Conciliacao!F57</f>
        <v>11172.94</v>
      </c>
      <c r="H57" s="30">
        <f>IFERROR(INDEX(CP_Setembro!$M$5:$M$126,MATCH("F|"&amp;A57,CP_Setembro!$A$5:$A$126,0)),0)</f>
        <v>11172.94</v>
      </c>
      <c r="I57" s="30">
        <f t="shared" si="4"/>
        <v>0</v>
      </c>
      <c r="J57" s="30">
        <f>IFERROR(INDEX(CP_Setembro!$K$5:$K$126,MATCH("F|"&amp;A57,CP_Setembro!$A$5:$A$126,0)),0)</f>
        <v>0</v>
      </c>
      <c r="K57" s="30">
        <f>IFERROR(INDEX(CP_Setembro!$L$5:$L$126,MATCH("F|"&amp;A57,CP_Setembro!$A$5:$A$126,0)),0)</f>
        <v>0</v>
      </c>
      <c r="L57" s="30">
        <f>IFERROR(INDEX(CP_Setembro!$J$5:$J$126,MATCH("F|"&amp;A57,CP_Setembro!$A$5:$A$126,0)),0)</f>
        <v>0</v>
      </c>
      <c r="M57" s="28" t="str">
        <f t="shared" si="5"/>
        <v>DIVERGE</v>
      </c>
      <c r="N57" s="28" t="s">
        <v>535</v>
      </c>
    </row>
    <row r="58" spans="1:14" x14ac:dyDescent="0.3">
      <c r="A58" s="27" t="str">
        <f>Conciliacao!B58</f>
        <v>15</v>
      </c>
      <c r="B58" s="27" t="str">
        <f>Conciliacao!D58</f>
        <v>SOLOFIX  CONTEÇÕES</v>
      </c>
      <c r="C58" s="28" t="str">
        <f>IFERROR(INDEX(CP_Setembro!$C$5:$C$126,MATCH("F|"&amp;A58,CP_Setembro!$A$5:$A$126,0)),"NÃO ENCONTRADA")</f>
        <v>SOLOFIX CONTENCOES E ENGENHARIA LTDA</v>
      </c>
      <c r="D58" s="29">
        <f>Conciliacao!E58</f>
        <v>548347.68999999994</v>
      </c>
      <c r="E58" s="30">
        <f>IFERROR(INDEX(CP_Setembro!$I$5:$I$126,MATCH("F|"&amp;A58,CP_Setembro!$A$5:$A$126,0)),0)</f>
        <v>548347.68999999994</v>
      </c>
      <c r="F58" s="30">
        <f t="shared" si="3"/>
        <v>0</v>
      </c>
      <c r="G58" s="29">
        <f>Conciliacao!F58</f>
        <v>520930.31</v>
      </c>
      <c r="H58" s="30">
        <f>IFERROR(INDEX(CP_Setembro!$M$5:$M$126,MATCH("F|"&amp;A58,CP_Setembro!$A$5:$A$126,0)),0)</f>
        <v>520930.31</v>
      </c>
      <c r="I58" s="30">
        <f t="shared" si="4"/>
        <v>0</v>
      </c>
      <c r="J58" s="30">
        <f>IFERROR(INDEX(CP_Setembro!$K$5:$K$126,MATCH("F|"&amp;A58,CP_Setembro!$A$5:$A$126,0)),0)</f>
        <v>0</v>
      </c>
      <c r="K58" s="30">
        <f>IFERROR(INDEX(CP_Setembro!$L$5:$L$126,MATCH("F|"&amp;A58,CP_Setembro!$A$5:$A$126,0)),0)</f>
        <v>0</v>
      </c>
      <c r="L58" s="30">
        <f>IFERROR(INDEX(CP_Setembro!$J$5:$J$126,MATCH("F|"&amp;A58,CP_Setembro!$A$5:$A$126,0)),0)</f>
        <v>27417.38</v>
      </c>
      <c r="M58" s="28" t="str">
        <f t="shared" si="5"/>
        <v>OK</v>
      </c>
      <c r="N58" s="28"/>
    </row>
    <row r="59" spans="1:14" x14ac:dyDescent="0.3">
      <c r="A59" s="27" t="str">
        <f>Conciliacao!B59</f>
        <v>2527</v>
      </c>
      <c r="B59" s="27" t="str">
        <f>Conciliacao!D59</f>
        <v>SÃO LEOPOLDO</v>
      </c>
      <c r="C59" s="28" t="str">
        <f>IFERROR(INDEX(CP_Setembro!$C$5:$C$126,MATCH("F|"&amp;A59,CP_Setembro!$A$5:$A$126,0)),"NÃO ENCONTRADA")</f>
        <v>SAO LEOPOLDO TRR DIESEL LTDA</v>
      </c>
      <c r="D59" s="29">
        <f>Conciliacao!E59</f>
        <v>2226</v>
      </c>
      <c r="E59" s="30">
        <f>IFERROR(INDEX(CP_Setembro!$I$5:$I$126,MATCH("F|"&amp;A59,CP_Setembro!$A$5:$A$126,0)),0)</f>
        <v>2226</v>
      </c>
      <c r="F59" s="30">
        <f t="shared" si="3"/>
        <v>0</v>
      </c>
      <c r="G59" s="29">
        <f>Conciliacao!F59</f>
        <v>2226</v>
      </c>
      <c r="H59" s="30">
        <f>IFERROR(INDEX(CP_Setembro!$M$5:$M$126,MATCH("F|"&amp;A59,CP_Setembro!$A$5:$A$126,0)),0)</f>
        <v>2226</v>
      </c>
      <c r="I59" s="30">
        <f t="shared" si="4"/>
        <v>0</v>
      </c>
      <c r="J59" s="30">
        <f>IFERROR(INDEX(CP_Setembro!$K$5:$K$126,MATCH("F|"&amp;A59,CP_Setembro!$A$5:$A$126,0)),0)</f>
        <v>0</v>
      </c>
      <c r="K59" s="30">
        <f>IFERROR(INDEX(CP_Setembro!$L$5:$L$126,MATCH("F|"&amp;A59,CP_Setembro!$A$5:$A$126,0)),0)</f>
        <v>0</v>
      </c>
      <c r="L59" s="30">
        <f>IFERROR(INDEX(CP_Setembro!$J$5:$J$126,MATCH("F|"&amp;A59,CP_Setembro!$A$5:$A$126,0)),0)</f>
        <v>0</v>
      </c>
      <c r="M59" s="28" t="str">
        <f t="shared" si="5"/>
        <v>OK</v>
      </c>
      <c r="N59" s="28"/>
    </row>
    <row r="60" spans="1:14" x14ac:dyDescent="0.3">
      <c r="A60" s="27" t="str">
        <f>Conciliacao!B60</f>
        <v>617</v>
      </c>
      <c r="B60" s="27" t="str">
        <f>Conciliacao!D60</f>
        <v>IGOR MORELI</v>
      </c>
      <c r="C60" s="28" t="str">
        <f>IFERROR(INDEX(CP_Setembro!$C$5:$C$126,MATCH("F|"&amp;A60,CP_Setembro!$A$5:$A$126,0)),"NÃO ENCONTRADA")</f>
        <v>IGOR MORELI BARROS</v>
      </c>
      <c r="D60" s="29">
        <f>Conciliacao!E60</f>
        <v>3430</v>
      </c>
      <c r="E60" s="30">
        <f>IFERROR(INDEX(CP_Setembro!$I$5:$I$126,MATCH("F|"&amp;A60,CP_Setembro!$A$5:$A$126,0)),0)</f>
        <v>3430</v>
      </c>
      <c r="F60" s="30">
        <f t="shared" si="3"/>
        <v>0</v>
      </c>
      <c r="G60" s="29">
        <f>Conciliacao!F60</f>
        <v>3430</v>
      </c>
      <c r="H60" s="30">
        <f>IFERROR(INDEX(CP_Setembro!$M$5:$M$126,MATCH("F|"&amp;A60,CP_Setembro!$A$5:$A$126,0)),0)</f>
        <v>3430</v>
      </c>
      <c r="I60" s="30">
        <f t="shared" si="4"/>
        <v>0</v>
      </c>
      <c r="J60" s="30">
        <f>IFERROR(INDEX(CP_Setembro!$K$5:$K$126,MATCH("F|"&amp;A60,CP_Setembro!$A$5:$A$126,0)),0)</f>
        <v>0</v>
      </c>
      <c r="K60" s="30">
        <f>IFERROR(INDEX(CP_Setembro!$L$5:$L$126,MATCH("F|"&amp;A60,CP_Setembro!$A$5:$A$126,0)),0)</f>
        <v>0</v>
      </c>
      <c r="L60" s="30">
        <f>IFERROR(INDEX(CP_Setembro!$J$5:$J$126,MATCH("F|"&amp;A60,CP_Setembro!$A$5:$A$126,0)),0)</f>
        <v>0</v>
      </c>
      <c r="M60" s="28" t="str">
        <f t="shared" si="5"/>
        <v>OK</v>
      </c>
      <c r="N60" s="28"/>
    </row>
    <row r="61" spans="1:14" x14ac:dyDescent="0.3">
      <c r="A61" s="27" t="str">
        <f>Conciliacao!B61</f>
        <v>51534</v>
      </c>
      <c r="B61" s="27" t="str">
        <f>Conciliacao!D61</f>
        <v>ITUPETRO COMERCIO</v>
      </c>
      <c r="C61" s="28" t="str">
        <f>IFERROR(INDEX(CP_Setembro!$C$5:$C$126,MATCH("F|"&amp;A61,CP_Setembro!$A$5:$A$126,0)),"NÃO ENCONTRADA")</f>
        <v>ITUPETRO-COMERCIO E TRANSPORTE DE DERIV.PETROLEO LTDA.</v>
      </c>
      <c r="D61" s="29">
        <f>Conciliacao!E61</f>
        <v>31600</v>
      </c>
      <c r="E61" s="30">
        <f>IFERROR(INDEX(CP_Setembro!$I$5:$I$126,MATCH("F|"&amp;A61,CP_Setembro!$A$5:$A$126,0)),0)</f>
        <v>31600</v>
      </c>
      <c r="F61" s="30">
        <f t="shared" si="3"/>
        <v>0</v>
      </c>
      <c r="G61" s="29">
        <f>Conciliacao!F61</f>
        <v>31600</v>
      </c>
      <c r="H61" s="30">
        <f>IFERROR(INDEX(CP_Setembro!$M$5:$M$126,MATCH("F|"&amp;A61,CP_Setembro!$A$5:$A$126,0)),0)</f>
        <v>31600</v>
      </c>
      <c r="I61" s="30">
        <f t="shared" si="4"/>
        <v>0</v>
      </c>
      <c r="J61" s="30">
        <f>IFERROR(INDEX(CP_Setembro!$K$5:$K$126,MATCH("F|"&amp;A61,CP_Setembro!$A$5:$A$126,0)),0)</f>
        <v>0</v>
      </c>
      <c r="K61" s="30">
        <f>IFERROR(INDEX(CP_Setembro!$L$5:$L$126,MATCH("F|"&amp;A61,CP_Setembro!$A$5:$A$126,0)),0)</f>
        <v>0</v>
      </c>
      <c r="L61" s="30">
        <f>IFERROR(INDEX(CP_Setembro!$J$5:$J$126,MATCH("F|"&amp;A61,CP_Setembro!$A$5:$A$126,0)),0)</f>
        <v>0</v>
      </c>
      <c r="M61" s="28" t="str">
        <f t="shared" si="5"/>
        <v>OK</v>
      </c>
      <c r="N61" s="28"/>
    </row>
    <row r="62" spans="1:14" x14ac:dyDescent="0.3">
      <c r="A62" s="27" t="str">
        <f>Conciliacao!B62</f>
        <v>384450</v>
      </c>
      <c r="B62" s="27" t="str">
        <f>Conciliacao!D62</f>
        <v>PETROCAMP DERIVADOS</v>
      </c>
      <c r="C62" s="28" t="str">
        <f>IFERROR(INDEX(CP_Setembro!$C$5:$C$126,MATCH("F|"&amp;A62,CP_Setembro!$A$5:$A$126,0)),"NÃO ENCONTRADA")</f>
        <v>PETROCAMP DERIVADOS DE PETROLEO LTDA</v>
      </c>
      <c r="D62" s="29">
        <f>Conciliacao!E62</f>
        <v>32750</v>
      </c>
      <c r="E62" s="30">
        <f>IFERROR(INDEX(CP_Setembro!$I$5:$I$126,MATCH("F|"&amp;A62,CP_Setembro!$A$5:$A$126,0)),0)</f>
        <v>32750</v>
      </c>
      <c r="F62" s="30">
        <f t="shared" si="3"/>
        <v>0</v>
      </c>
      <c r="G62" s="29">
        <f>Conciliacao!F62</f>
        <v>32750</v>
      </c>
      <c r="H62" s="30">
        <f>IFERROR(INDEX(CP_Setembro!$M$5:$M$126,MATCH("F|"&amp;A62,CP_Setembro!$A$5:$A$126,0)),0)</f>
        <v>32750</v>
      </c>
      <c r="I62" s="30">
        <f t="shared" si="4"/>
        <v>0</v>
      </c>
      <c r="J62" s="30">
        <f>IFERROR(INDEX(CP_Setembro!$K$5:$K$126,MATCH("F|"&amp;A62,CP_Setembro!$A$5:$A$126,0)),0)</f>
        <v>0</v>
      </c>
      <c r="K62" s="30">
        <f>IFERROR(INDEX(CP_Setembro!$L$5:$L$126,MATCH("F|"&amp;A62,CP_Setembro!$A$5:$A$126,0)),0)</f>
        <v>0</v>
      </c>
      <c r="L62" s="30">
        <f>IFERROR(INDEX(CP_Setembro!$J$5:$J$126,MATCH("F|"&amp;A62,CP_Setembro!$A$5:$A$126,0)),0)</f>
        <v>0</v>
      </c>
      <c r="M62" s="28" t="str">
        <f t="shared" si="5"/>
        <v>OK</v>
      </c>
      <c r="N62" s="28"/>
    </row>
    <row r="63" spans="1:14" x14ac:dyDescent="0.3">
      <c r="A63" s="27" t="str">
        <f>Conciliacao!B63</f>
        <v>440</v>
      </c>
      <c r="B63" s="27" t="str">
        <f>Conciliacao!D63</f>
        <v>ATX TECNOLOGIA</v>
      </c>
      <c r="C63" s="28" t="str">
        <f>IFERROR(INDEX(CP_Setembro!$C$5:$C$126,MATCH("F|"&amp;A63,CP_Setembro!$A$5:$A$126,0)),"NÃO ENCONTRADA")</f>
        <v>ATIX TECNOLOGIA E SEGURANCA LTDA</v>
      </c>
      <c r="D63" s="29">
        <f>Conciliacao!E63</f>
        <v>2227</v>
      </c>
      <c r="E63" s="30">
        <f>IFERROR(INDEX(CP_Setembro!$I$5:$I$126,MATCH("F|"&amp;A63,CP_Setembro!$A$5:$A$126,0)),0)</f>
        <v>2227</v>
      </c>
      <c r="F63" s="30">
        <f t="shared" si="3"/>
        <v>0</v>
      </c>
      <c r="G63" s="29">
        <f>Conciliacao!F63</f>
        <v>2227</v>
      </c>
      <c r="H63" s="30">
        <f>IFERROR(INDEX(CP_Setembro!$M$5:$M$126,MATCH("F|"&amp;A63,CP_Setembro!$A$5:$A$126,0)),0)</f>
        <v>2227</v>
      </c>
      <c r="I63" s="30">
        <f t="shared" si="4"/>
        <v>0</v>
      </c>
      <c r="J63" s="30">
        <f>IFERROR(INDEX(CP_Setembro!$K$5:$K$126,MATCH("F|"&amp;A63,CP_Setembro!$A$5:$A$126,0)),0)</f>
        <v>0</v>
      </c>
      <c r="K63" s="30">
        <f>IFERROR(INDEX(CP_Setembro!$L$5:$L$126,MATCH("F|"&amp;A63,CP_Setembro!$A$5:$A$126,0)),0)</f>
        <v>0</v>
      </c>
      <c r="L63" s="30">
        <f>IFERROR(INDEX(CP_Setembro!$J$5:$J$126,MATCH("F|"&amp;A63,CP_Setembro!$A$5:$A$126,0)),0)</f>
        <v>0</v>
      </c>
      <c r="M63" s="28" t="str">
        <f t="shared" si="5"/>
        <v>OK</v>
      </c>
      <c r="N63" s="28"/>
    </row>
    <row r="64" spans="1:14" x14ac:dyDescent="0.3">
      <c r="A64" s="27" t="str">
        <f>Conciliacao!B64</f>
        <v>23704</v>
      </c>
      <c r="B64" s="27" t="str">
        <f>Conciliacao!D64</f>
        <v>ATX TECNOLOGIA</v>
      </c>
      <c r="C64" s="28" t="str">
        <f>IFERROR(INDEX(CP_Setembro!$C$5:$C$126,MATCH("F|"&amp;A64,CP_Setembro!$A$5:$A$126,0)),"NÃO ENCONTRADA")</f>
        <v>ATIX TECNOLOGIA E SEGURANCA LTDA</v>
      </c>
      <c r="D64" s="29">
        <f>Conciliacao!E64</f>
        <v>4073</v>
      </c>
      <c r="E64" s="30">
        <f>IFERROR(INDEX(CP_Setembro!$I$5:$I$126,MATCH("F|"&amp;A64,CP_Setembro!$A$5:$A$126,0)),0)</f>
        <v>4073</v>
      </c>
      <c r="F64" s="30">
        <f t="shared" si="3"/>
        <v>0</v>
      </c>
      <c r="G64" s="29">
        <f>Conciliacao!F64</f>
        <v>3639.23</v>
      </c>
      <c r="H64" s="30">
        <f>IFERROR(INDEX(CP_Setembro!$M$5:$M$126,MATCH("F|"&amp;A64,CP_Setembro!$A$5:$A$126,0)),0)</f>
        <v>3639.23</v>
      </c>
      <c r="I64" s="30">
        <f t="shared" si="4"/>
        <v>0</v>
      </c>
      <c r="J64" s="30">
        <f>IFERROR(INDEX(CP_Setembro!$K$5:$K$126,MATCH("F|"&amp;A64,CP_Setembro!$A$5:$A$126,0)),0)</f>
        <v>0</v>
      </c>
      <c r="K64" s="30">
        <f>IFERROR(INDEX(CP_Setembro!$L$5:$L$126,MATCH("F|"&amp;A64,CP_Setembro!$A$5:$A$126,0)),0)</f>
        <v>0</v>
      </c>
      <c r="L64" s="30">
        <f>IFERROR(INDEX(CP_Setembro!$J$5:$J$126,MATCH("F|"&amp;A64,CP_Setembro!$A$5:$A$126,0)),0)</f>
        <v>433.77</v>
      </c>
      <c r="M64" s="28" t="str">
        <f t="shared" si="5"/>
        <v>OK</v>
      </c>
      <c r="N64" s="28"/>
    </row>
    <row r="65" spans="1:14" x14ac:dyDescent="0.3">
      <c r="A65" s="27" t="str">
        <f>Conciliacao!B65</f>
        <v>23002</v>
      </c>
      <c r="B65" s="27" t="str">
        <f>Conciliacao!D65</f>
        <v>GESCORPGO GERECIAMENTO</v>
      </c>
      <c r="C65" s="28" t="str">
        <f>IFERROR(INDEX(CP_Setembro!$C$5:$C$126,MATCH("F|"&amp;A65,CP_Setembro!$A$5:$A$126,0)),"NÃO ENCONTRADA")</f>
        <v>GESCORPGO GERENCIAMENTO SERVICOS CORPORATIVOS LTDA</v>
      </c>
      <c r="D65" s="29">
        <f>Conciliacao!E65</f>
        <v>700</v>
      </c>
      <c r="E65" s="30">
        <f>IFERROR(INDEX(CP_Setembro!$I$5:$I$126,MATCH("F|"&amp;A65,CP_Setembro!$A$5:$A$126,0)),0)</f>
        <v>700</v>
      </c>
      <c r="F65" s="30">
        <f t="shared" si="3"/>
        <v>0</v>
      </c>
      <c r="G65" s="29">
        <f>Conciliacao!F65</f>
        <v>700</v>
      </c>
      <c r="H65" s="30">
        <f>IFERROR(INDEX(CP_Setembro!$M$5:$M$126,MATCH("F|"&amp;A65,CP_Setembro!$A$5:$A$126,0)),0)</f>
        <v>700</v>
      </c>
      <c r="I65" s="30">
        <f t="shared" si="4"/>
        <v>0</v>
      </c>
      <c r="J65" s="30">
        <f>IFERROR(INDEX(CP_Setembro!$K$5:$K$126,MATCH("F|"&amp;A65,CP_Setembro!$A$5:$A$126,0)),0)</f>
        <v>0</v>
      </c>
      <c r="K65" s="30">
        <f>IFERROR(INDEX(CP_Setembro!$L$5:$L$126,MATCH("F|"&amp;A65,CP_Setembro!$A$5:$A$126,0)),0)</f>
        <v>0</v>
      </c>
      <c r="L65" s="30">
        <f>IFERROR(INDEX(CP_Setembro!$J$5:$J$126,MATCH("F|"&amp;A65,CP_Setembro!$A$5:$A$126,0)),0)</f>
        <v>0</v>
      </c>
      <c r="M65" s="28" t="str">
        <f t="shared" si="5"/>
        <v>OK</v>
      </c>
      <c r="N65" s="28"/>
    </row>
    <row r="66" spans="1:14" x14ac:dyDescent="0.3">
      <c r="A66" s="27" t="str">
        <f>Conciliacao!B66</f>
        <v>3627477</v>
      </c>
      <c r="B66" s="27" t="str">
        <f>Conciliacao!D66</f>
        <v>GERDAU AÇOS MINAS</v>
      </c>
      <c r="C66" s="28" t="str">
        <f>IFERROR(INDEX(CP_Setembro!$C$5:$C$126,MATCH("F|"&amp;A66,CP_Setembro!$A$5:$A$126,0)),"NÃO ENCONTRADA")</f>
        <v>GERDAU ACOMINAS SA</v>
      </c>
      <c r="D66" s="29">
        <f>Conciliacao!E66</f>
        <v>49296.08</v>
      </c>
      <c r="E66" s="30">
        <f>IFERROR(INDEX(CP_Setembro!$I$5:$I$126,MATCH("F|"&amp;A66,CP_Setembro!$A$5:$A$126,0)),0)</f>
        <v>49296.08</v>
      </c>
      <c r="F66" s="30">
        <f t="shared" si="3"/>
        <v>0</v>
      </c>
      <c r="G66" s="29">
        <f>Conciliacao!F66</f>
        <v>49296.08</v>
      </c>
      <c r="H66" s="30">
        <f>IFERROR(INDEX(CP_Setembro!$M$5:$M$126,MATCH("F|"&amp;A66,CP_Setembro!$A$5:$A$126,0)),0)</f>
        <v>49296.08</v>
      </c>
      <c r="I66" s="30">
        <f t="shared" si="4"/>
        <v>0</v>
      </c>
      <c r="J66" s="30">
        <f>IFERROR(INDEX(CP_Setembro!$K$5:$K$126,MATCH("F|"&amp;A66,CP_Setembro!$A$5:$A$126,0)),0)</f>
        <v>0</v>
      </c>
      <c r="K66" s="30">
        <f>IFERROR(INDEX(CP_Setembro!$L$5:$L$126,MATCH("F|"&amp;A66,CP_Setembro!$A$5:$A$126,0)),0)</f>
        <v>0</v>
      </c>
      <c r="L66" s="30">
        <f>IFERROR(INDEX(CP_Setembro!$J$5:$J$126,MATCH("F|"&amp;A66,CP_Setembro!$A$5:$A$126,0)),0)</f>
        <v>0</v>
      </c>
      <c r="M66" s="28" t="str">
        <f t="shared" si="5"/>
        <v>OK</v>
      </c>
      <c r="N66" s="28"/>
    </row>
    <row r="67" spans="1:14" x14ac:dyDescent="0.3">
      <c r="A67" s="27" t="str">
        <f>Conciliacao!B67</f>
        <v>3627476</v>
      </c>
      <c r="B67" s="27" t="str">
        <f>Conciliacao!D67</f>
        <v>GERDAU AÇOS MINAS</v>
      </c>
      <c r="C67" s="28" t="str">
        <f>IFERROR(INDEX(CP_Setembro!$C$5:$C$126,MATCH("F|"&amp;A67,CP_Setembro!$A$5:$A$126,0)),"NÃO ENCONTRADA")</f>
        <v>GERDAU ACOMINAS SA</v>
      </c>
      <c r="D67" s="29">
        <f>Conciliacao!E67</f>
        <v>103817.7</v>
      </c>
      <c r="E67" s="30">
        <f>IFERROR(INDEX(CP_Setembro!$I$5:$I$126,MATCH("F|"&amp;A67,CP_Setembro!$A$5:$A$126,0)),0)</f>
        <v>103817.7</v>
      </c>
      <c r="F67" s="30">
        <f t="shared" si="3"/>
        <v>0</v>
      </c>
      <c r="G67" s="29">
        <f>Conciliacao!F67</f>
        <v>103817.7</v>
      </c>
      <c r="H67" s="30">
        <f>IFERROR(INDEX(CP_Setembro!$M$5:$M$126,MATCH("F|"&amp;A67,CP_Setembro!$A$5:$A$126,0)),0)</f>
        <v>103817.7</v>
      </c>
      <c r="I67" s="30">
        <f t="shared" si="4"/>
        <v>0</v>
      </c>
      <c r="J67" s="30">
        <f>IFERROR(INDEX(CP_Setembro!$K$5:$K$126,MATCH("F|"&amp;A67,CP_Setembro!$A$5:$A$126,0)),0)</f>
        <v>0</v>
      </c>
      <c r="K67" s="30">
        <f>IFERROR(INDEX(CP_Setembro!$L$5:$L$126,MATCH("F|"&amp;A67,CP_Setembro!$A$5:$A$126,0)),0)</f>
        <v>0</v>
      </c>
      <c r="L67" s="30">
        <f>IFERROR(INDEX(CP_Setembro!$J$5:$J$126,MATCH("F|"&amp;A67,CP_Setembro!$A$5:$A$126,0)),0)</f>
        <v>0</v>
      </c>
      <c r="M67" s="28" t="str">
        <f t="shared" si="5"/>
        <v>OK</v>
      </c>
      <c r="N67" s="28"/>
    </row>
    <row r="68" spans="1:14" x14ac:dyDescent="0.3">
      <c r="A68" s="27" t="str">
        <f>Conciliacao!B68</f>
        <v>3628341</v>
      </c>
      <c r="B68" s="27" t="str">
        <f>Conciliacao!D68</f>
        <v>GERDAU AÇOS MINAS</v>
      </c>
      <c r="C68" s="28" t="str">
        <f>IFERROR(INDEX(CP_Setembro!$C$5:$C$126,MATCH("F|"&amp;A68,CP_Setembro!$A$5:$A$126,0)),"NÃO ENCONTRADA")</f>
        <v>GERDAU ACOMINAS SA</v>
      </c>
      <c r="D68" s="29">
        <f>Conciliacao!E68</f>
        <v>103817.69</v>
      </c>
      <c r="E68" s="30">
        <f>IFERROR(INDEX(CP_Setembro!$I$5:$I$126,MATCH("F|"&amp;A68,CP_Setembro!$A$5:$A$126,0)),0)</f>
        <v>103817.69</v>
      </c>
      <c r="F68" s="30">
        <f t="shared" si="3"/>
        <v>0</v>
      </c>
      <c r="G68" s="29">
        <f>Conciliacao!F68</f>
        <v>103817.69</v>
      </c>
      <c r="H68" s="30">
        <f>IFERROR(INDEX(CP_Setembro!$M$5:$M$126,MATCH("F|"&amp;A68,CP_Setembro!$A$5:$A$126,0)),0)</f>
        <v>103817.69</v>
      </c>
      <c r="I68" s="30">
        <f t="shared" si="4"/>
        <v>0</v>
      </c>
      <c r="J68" s="30">
        <f>IFERROR(INDEX(CP_Setembro!$K$5:$K$126,MATCH("F|"&amp;A68,CP_Setembro!$A$5:$A$126,0)),0)</f>
        <v>0</v>
      </c>
      <c r="K68" s="30">
        <f>IFERROR(INDEX(CP_Setembro!$L$5:$L$126,MATCH("F|"&amp;A68,CP_Setembro!$A$5:$A$126,0)),0)</f>
        <v>0</v>
      </c>
      <c r="L68" s="30">
        <f>IFERROR(INDEX(CP_Setembro!$J$5:$J$126,MATCH("F|"&amp;A68,CP_Setembro!$A$5:$A$126,0)),0)</f>
        <v>0</v>
      </c>
      <c r="M68" s="28" t="str">
        <f t="shared" si="5"/>
        <v>OK</v>
      </c>
      <c r="N68" s="28"/>
    </row>
    <row r="69" spans="1:14" x14ac:dyDescent="0.3">
      <c r="A69" s="27" t="str">
        <f>Conciliacao!B69</f>
        <v>283892</v>
      </c>
      <c r="B69" s="27" t="str">
        <f>Conciliacao!D69</f>
        <v>QUIBRITA MINERAÇÃO</v>
      </c>
      <c r="C69" s="28" t="str">
        <f>IFERROR(INDEX(CP_Setembro!$C$5:$C$126,MATCH("F|"&amp;A69,CP_Setembro!$A$5:$A$126,0)),"NÃO ENCONTRADA")</f>
        <v>QUIBRITA MINERADORA LTDA. - MATRIZ</v>
      </c>
      <c r="D69" s="29">
        <f>Conciliacao!E69</f>
        <v>1691.15</v>
      </c>
      <c r="E69" s="30">
        <f>IFERROR(INDEX(CP_Setembro!$I$5:$I$126,MATCH("F|"&amp;A69,CP_Setembro!$A$5:$A$126,0)),0)</f>
        <v>1691.15</v>
      </c>
      <c r="F69" s="30">
        <f t="shared" ref="F69:F90" si="6">D69-E69</f>
        <v>0</v>
      </c>
      <c r="G69" s="29">
        <f>Conciliacao!F69</f>
        <v>1691.15</v>
      </c>
      <c r="H69" s="30">
        <f>IFERROR(INDEX(CP_Setembro!$M$5:$M$126,MATCH("F|"&amp;A69,CP_Setembro!$A$5:$A$126,0)),0)</f>
        <v>1691.15</v>
      </c>
      <c r="I69" s="30">
        <f t="shared" ref="I69:I90" si="7">G69-H69</f>
        <v>0</v>
      </c>
      <c r="J69" s="30">
        <f>IFERROR(INDEX(CP_Setembro!$K$5:$K$126,MATCH("F|"&amp;A69,CP_Setembro!$A$5:$A$126,0)),0)</f>
        <v>0</v>
      </c>
      <c r="K69" s="30">
        <f>IFERROR(INDEX(CP_Setembro!$L$5:$L$126,MATCH("F|"&amp;A69,CP_Setembro!$A$5:$A$126,0)),0)</f>
        <v>0</v>
      </c>
      <c r="L69" s="30">
        <f>IFERROR(INDEX(CP_Setembro!$J$5:$J$126,MATCH("F|"&amp;A69,CP_Setembro!$A$5:$A$126,0)),0)</f>
        <v>0</v>
      </c>
      <c r="M69" s="28" t="str">
        <f t="shared" ref="M69:M90" si="8">IF(C69="NÃO ENCONTRADA","NÃO ENCONTRADA",IF(AND(ABS(F69)&lt;0.005,ABS(I69)&lt;0.005),"OK","DIVERGE"))</f>
        <v>OK</v>
      </c>
      <c r="N69" s="28"/>
    </row>
    <row r="70" spans="1:14" x14ac:dyDescent="0.3">
      <c r="A70" s="27" t="str">
        <f>Conciliacao!B70</f>
        <v>284434</v>
      </c>
      <c r="B70" s="27" t="str">
        <f>Conciliacao!D70</f>
        <v>QUIBRITA MINERAÇÃO</v>
      </c>
      <c r="C70" s="28" t="str">
        <f>IFERROR(INDEX(CP_Setembro!$C$5:$C$126,MATCH("F|"&amp;A70,CP_Setembro!$A$5:$A$126,0)),"NÃO ENCONTRADA")</f>
        <v>QUIBRITA MINERADORA LTDA. - MATRIZ</v>
      </c>
      <c r="D70" s="29">
        <f>Conciliacao!E70</f>
        <v>1828.23</v>
      </c>
      <c r="E70" s="30">
        <f>IFERROR(INDEX(CP_Setembro!$I$5:$I$126,MATCH("F|"&amp;A70,CP_Setembro!$A$5:$A$126,0)),0)</f>
        <v>1828.23</v>
      </c>
      <c r="F70" s="30">
        <f t="shared" si="6"/>
        <v>0</v>
      </c>
      <c r="G70" s="29">
        <f>Conciliacao!F70</f>
        <v>1828.23</v>
      </c>
      <c r="H70" s="30">
        <f>IFERROR(INDEX(CP_Setembro!$M$5:$M$126,MATCH("F|"&amp;A70,CP_Setembro!$A$5:$A$126,0)),0)</f>
        <v>1828.23</v>
      </c>
      <c r="I70" s="30">
        <f t="shared" si="7"/>
        <v>0</v>
      </c>
      <c r="J70" s="30">
        <f>IFERROR(INDEX(CP_Setembro!$K$5:$K$126,MATCH("F|"&amp;A70,CP_Setembro!$A$5:$A$126,0)),0)</f>
        <v>0</v>
      </c>
      <c r="K70" s="30">
        <f>IFERROR(INDEX(CP_Setembro!$L$5:$L$126,MATCH("F|"&amp;A70,CP_Setembro!$A$5:$A$126,0)),0)</f>
        <v>0</v>
      </c>
      <c r="L70" s="30">
        <f>IFERROR(INDEX(CP_Setembro!$J$5:$J$126,MATCH("F|"&amp;A70,CP_Setembro!$A$5:$A$126,0)),0)</f>
        <v>0</v>
      </c>
      <c r="M70" s="28" t="str">
        <f t="shared" si="8"/>
        <v>OK</v>
      </c>
      <c r="N70" s="28"/>
    </row>
    <row r="71" spans="1:14" x14ac:dyDescent="0.3">
      <c r="A71" s="27" t="str">
        <f>Conciliacao!B71</f>
        <v>283794</v>
      </c>
      <c r="B71" s="27" t="str">
        <f>Conciliacao!D71</f>
        <v>QUIBRITA MINERAÇÃO</v>
      </c>
      <c r="C71" s="28" t="str">
        <f>IFERROR(INDEX(CP_Setembro!$C$5:$C$126,MATCH("F|"&amp;A71,CP_Setembro!$A$5:$A$126,0)),"NÃO ENCONTRADA")</f>
        <v>QUIBRITA MINERADORA LTDA. - MATRIZ</v>
      </c>
      <c r="D71" s="29">
        <f>Conciliacao!E71</f>
        <v>1835.68</v>
      </c>
      <c r="E71" s="30">
        <f>IFERROR(INDEX(CP_Setembro!$I$5:$I$126,MATCH("F|"&amp;A71,CP_Setembro!$A$5:$A$126,0)),0)</f>
        <v>1835.68</v>
      </c>
      <c r="F71" s="30">
        <f t="shared" si="6"/>
        <v>0</v>
      </c>
      <c r="G71" s="29">
        <f>Conciliacao!F71</f>
        <v>1835.68</v>
      </c>
      <c r="H71" s="30">
        <f>IFERROR(INDEX(CP_Setembro!$M$5:$M$126,MATCH("F|"&amp;A71,CP_Setembro!$A$5:$A$126,0)),0)</f>
        <v>1835.68</v>
      </c>
      <c r="I71" s="30">
        <f t="shared" si="7"/>
        <v>0</v>
      </c>
      <c r="J71" s="30">
        <f>IFERROR(INDEX(CP_Setembro!$K$5:$K$126,MATCH("F|"&amp;A71,CP_Setembro!$A$5:$A$126,0)),0)</f>
        <v>0</v>
      </c>
      <c r="K71" s="30">
        <f>IFERROR(INDEX(CP_Setembro!$L$5:$L$126,MATCH("F|"&amp;A71,CP_Setembro!$A$5:$A$126,0)),0)</f>
        <v>0</v>
      </c>
      <c r="L71" s="30">
        <f>IFERROR(INDEX(CP_Setembro!$J$5:$J$126,MATCH("F|"&amp;A71,CP_Setembro!$A$5:$A$126,0)),0)</f>
        <v>0</v>
      </c>
      <c r="M71" s="28" t="str">
        <f t="shared" si="8"/>
        <v>OK</v>
      </c>
      <c r="N71" s="28"/>
    </row>
    <row r="72" spans="1:14" x14ac:dyDescent="0.3">
      <c r="A72" s="27" t="str">
        <f>Conciliacao!B72</f>
        <v>283890</v>
      </c>
      <c r="B72" s="27" t="str">
        <f>Conciliacao!D72</f>
        <v>QUIBRITA MINERAÇÃO</v>
      </c>
      <c r="C72" s="28" t="str">
        <f>IFERROR(INDEX(CP_Setembro!$C$5:$C$126,MATCH("F|"&amp;A72,CP_Setembro!$A$5:$A$126,0)),"NÃO ENCONTRADA")</f>
        <v>QUIBRITA MINERADORA LTDA. - MATRIZ</v>
      </c>
      <c r="D72" s="29">
        <f>Conciliacao!E72</f>
        <v>2002.45</v>
      </c>
      <c r="E72" s="30">
        <f>IFERROR(INDEX(CP_Setembro!$I$5:$I$126,MATCH("F|"&amp;A72,CP_Setembro!$A$5:$A$126,0)),0)</f>
        <v>2002.45</v>
      </c>
      <c r="F72" s="30">
        <f t="shared" si="6"/>
        <v>0</v>
      </c>
      <c r="G72" s="29">
        <f>Conciliacao!F72</f>
        <v>2002.45</v>
      </c>
      <c r="H72" s="30">
        <f>IFERROR(INDEX(CP_Setembro!$M$5:$M$126,MATCH("F|"&amp;A72,CP_Setembro!$A$5:$A$126,0)),0)</f>
        <v>2002.45</v>
      </c>
      <c r="I72" s="30">
        <f t="shared" si="7"/>
        <v>0</v>
      </c>
      <c r="J72" s="30">
        <f>IFERROR(INDEX(CP_Setembro!$K$5:$K$126,MATCH("F|"&amp;A72,CP_Setembro!$A$5:$A$126,0)),0)</f>
        <v>0</v>
      </c>
      <c r="K72" s="30">
        <f>IFERROR(INDEX(CP_Setembro!$L$5:$L$126,MATCH("F|"&amp;A72,CP_Setembro!$A$5:$A$126,0)),0)</f>
        <v>0</v>
      </c>
      <c r="L72" s="30">
        <f>IFERROR(INDEX(CP_Setembro!$J$5:$J$126,MATCH("F|"&amp;A72,CP_Setembro!$A$5:$A$126,0)),0)</f>
        <v>0</v>
      </c>
      <c r="M72" s="28" t="str">
        <f t="shared" si="8"/>
        <v>OK</v>
      </c>
      <c r="N72" s="28"/>
    </row>
    <row r="73" spans="1:14" x14ac:dyDescent="0.3">
      <c r="A73" s="27" t="str">
        <f>Conciliacao!B73</f>
        <v>284447</v>
      </c>
      <c r="B73" s="27" t="str">
        <f>Conciliacao!D73</f>
        <v>QUIBRITA MINERAÇÃO</v>
      </c>
      <c r="C73" s="28" t="str">
        <f>IFERROR(INDEX(CP_Setembro!$C$5:$C$126,MATCH("F|"&amp;A73,CP_Setembro!$A$5:$A$126,0)),"NÃO ENCONTRADA")</f>
        <v>QUIBRITA MINERADORA LTDA. - MATRIZ</v>
      </c>
      <c r="D73" s="29">
        <f>Conciliacao!E73</f>
        <v>2235</v>
      </c>
      <c r="E73" s="30">
        <f>IFERROR(INDEX(CP_Setembro!$I$5:$I$126,MATCH("F|"&amp;A73,CP_Setembro!$A$5:$A$126,0)),0)</f>
        <v>2235</v>
      </c>
      <c r="F73" s="30">
        <f t="shared" si="6"/>
        <v>0</v>
      </c>
      <c r="G73" s="29">
        <f>Conciliacao!F73</f>
        <v>2235</v>
      </c>
      <c r="H73" s="30">
        <f>IFERROR(INDEX(CP_Setembro!$M$5:$M$126,MATCH("F|"&amp;A73,CP_Setembro!$A$5:$A$126,0)),0)</f>
        <v>2235</v>
      </c>
      <c r="I73" s="30">
        <f t="shared" si="7"/>
        <v>0</v>
      </c>
      <c r="J73" s="30">
        <f>IFERROR(INDEX(CP_Setembro!$K$5:$K$126,MATCH("F|"&amp;A73,CP_Setembro!$A$5:$A$126,0)),0)</f>
        <v>0</v>
      </c>
      <c r="K73" s="30">
        <f>IFERROR(INDEX(CP_Setembro!$L$5:$L$126,MATCH("F|"&amp;A73,CP_Setembro!$A$5:$A$126,0)),0)</f>
        <v>0</v>
      </c>
      <c r="L73" s="30">
        <f>IFERROR(INDEX(CP_Setembro!$J$5:$J$126,MATCH("F|"&amp;A73,CP_Setembro!$A$5:$A$126,0)),0)</f>
        <v>0</v>
      </c>
      <c r="M73" s="28" t="str">
        <f t="shared" si="8"/>
        <v>OK</v>
      </c>
      <c r="N73" s="28"/>
    </row>
    <row r="74" spans="1:14" x14ac:dyDescent="0.3">
      <c r="A74" s="27" t="str">
        <f>Conciliacao!B74</f>
        <v>81816</v>
      </c>
      <c r="B74" s="27" t="str">
        <f>Conciliacao!D74</f>
        <v>MULTI MAQUINAS</v>
      </c>
      <c r="C74" s="28" t="str">
        <f>IFERROR(INDEX(CP_Setembro!$C$5:$C$126,MATCH("F|"&amp;A74,CP_Setembro!$A$5:$A$126,0)),"NÃO ENCONTRADA")</f>
        <v>MULTIMAQUINAS LOCACAO DE MAQUINAS E EQUIPAMENTOS LTDA</v>
      </c>
      <c r="D74" s="29">
        <f>Conciliacao!E74</f>
        <v>560</v>
      </c>
      <c r="E74" s="30">
        <f>IFERROR(INDEX(CP_Setembro!$I$5:$I$126,MATCH("F|"&amp;A74,CP_Setembro!$A$5:$A$126,0)),0)</f>
        <v>560</v>
      </c>
      <c r="F74" s="30">
        <f t="shared" si="6"/>
        <v>0</v>
      </c>
      <c r="G74" s="29">
        <f>Conciliacao!F74</f>
        <v>560</v>
      </c>
      <c r="H74" s="30">
        <f>IFERROR(INDEX(CP_Setembro!$M$5:$M$126,MATCH("F|"&amp;A74,CP_Setembro!$A$5:$A$126,0)),0)</f>
        <v>560</v>
      </c>
      <c r="I74" s="30">
        <f t="shared" si="7"/>
        <v>0</v>
      </c>
      <c r="J74" s="30">
        <f>IFERROR(INDEX(CP_Setembro!$K$5:$K$126,MATCH("F|"&amp;A74,CP_Setembro!$A$5:$A$126,0)),0)</f>
        <v>0</v>
      </c>
      <c r="K74" s="30">
        <f>IFERROR(INDEX(CP_Setembro!$L$5:$L$126,MATCH("F|"&amp;A74,CP_Setembro!$A$5:$A$126,0)),0)</f>
        <v>0</v>
      </c>
      <c r="L74" s="30">
        <f>IFERROR(INDEX(CP_Setembro!$J$5:$J$126,MATCH("F|"&amp;A74,CP_Setembro!$A$5:$A$126,0)),0)</f>
        <v>0</v>
      </c>
      <c r="M74" s="28" t="str">
        <f t="shared" si="8"/>
        <v>OK</v>
      </c>
      <c r="N74" s="28"/>
    </row>
    <row r="75" spans="1:14" x14ac:dyDescent="0.3">
      <c r="A75" s="27" t="str">
        <f>Conciliacao!B75</f>
        <v>621</v>
      </c>
      <c r="B75" s="27" t="str">
        <f>Conciliacao!D75</f>
        <v>IGOR MORELI</v>
      </c>
      <c r="C75" s="28" t="str">
        <f>IFERROR(INDEX(CP_Setembro!$C$5:$C$126,MATCH("F|"&amp;A75,CP_Setembro!$A$5:$A$126,0)),"NÃO ENCONTRADA")</f>
        <v>IGOR MORELI BARROS</v>
      </c>
      <c r="D75" s="29">
        <f>Conciliacao!E75</f>
        <v>4515.62</v>
      </c>
      <c r="E75" s="30">
        <f>IFERROR(INDEX(CP_Setembro!$I$5:$I$126,MATCH("F|"&amp;A75,CP_Setembro!$A$5:$A$126,0)),0)</f>
        <v>4515.62</v>
      </c>
      <c r="F75" s="30">
        <f t="shared" si="6"/>
        <v>0</v>
      </c>
      <c r="G75" s="29">
        <f>Conciliacao!F75</f>
        <v>4515.62</v>
      </c>
      <c r="H75" s="30">
        <f>IFERROR(INDEX(CP_Setembro!$M$5:$M$126,MATCH("F|"&amp;A75,CP_Setembro!$A$5:$A$126,0)),0)</f>
        <v>4515.62</v>
      </c>
      <c r="I75" s="30">
        <f t="shared" si="7"/>
        <v>0</v>
      </c>
      <c r="J75" s="30">
        <f>IFERROR(INDEX(CP_Setembro!$K$5:$K$126,MATCH("F|"&amp;A75,CP_Setembro!$A$5:$A$126,0)),0)</f>
        <v>0</v>
      </c>
      <c r="K75" s="30">
        <f>IFERROR(INDEX(CP_Setembro!$L$5:$L$126,MATCH("F|"&amp;A75,CP_Setembro!$A$5:$A$126,0)),0)</f>
        <v>0</v>
      </c>
      <c r="L75" s="30">
        <f>IFERROR(INDEX(CP_Setembro!$J$5:$J$126,MATCH("F|"&amp;A75,CP_Setembro!$A$5:$A$126,0)),0)</f>
        <v>0</v>
      </c>
      <c r="M75" s="28" t="str">
        <f t="shared" si="8"/>
        <v>OK</v>
      </c>
      <c r="N75" s="28"/>
    </row>
    <row r="76" spans="1:14" x14ac:dyDescent="0.3">
      <c r="A76" s="27" t="str">
        <f>Conciliacao!B76</f>
        <v>189962</v>
      </c>
      <c r="B76" s="27" t="str">
        <f>Conciliacao!D76</f>
        <v>7 OLIVEIRAS</v>
      </c>
      <c r="C76" s="28" t="str">
        <f>IFERROR(INDEX(CP_Setembro!$C$5:$C$126,MATCH("F|"&amp;A76,CP_Setembro!$A$5:$A$126,0)),"NÃO ENCONTRADA")</f>
        <v>7 OLIVEIRAS COMERCIO E CONSTRUCOES LTDA  ME</v>
      </c>
      <c r="D76" s="29">
        <f>Conciliacao!E76</f>
        <v>2462.6</v>
      </c>
      <c r="E76" s="30">
        <f>IFERROR(INDEX(CP_Setembro!$I$5:$I$126,MATCH("F|"&amp;A76,CP_Setembro!$A$5:$A$126,0)),0)</f>
        <v>2462.6</v>
      </c>
      <c r="F76" s="30">
        <f t="shared" si="6"/>
        <v>0</v>
      </c>
      <c r="G76" s="29">
        <f>Conciliacao!F76</f>
        <v>2462.6</v>
      </c>
      <c r="H76" s="30">
        <f>IFERROR(INDEX(CP_Setembro!$M$5:$M$126,MATCH("F|"&amp;A76,CP_Setembro!$A$5:$A$126,0)),0)</f>
        <v>2462.6</v>
      </c>
      <c r="I76" s="30">
        <f t="shared" si="7"/>
        <v>0</v>
      </c>
      <c r="J76" s="30">
        <f>IFERROR(INDEX(CP_Setembro!$K$5:$K$126,MATCH("F|"&amp;A76,CP_Setembro!$A$5:$A$126,0)),0)</f>
        <v>0</v>
      </c>
      <c r="K76" s="30">
        <f>IFERROR(INDEX(CP_Setembro!$L$5:$L$126,MATCH("F|"&amp;A76,CP_Setembro!$A$5:$A$126,0)),0)</f>
        <v>0</v>
      </c>
      <c r="L76" s="30">
        <f>IFERROR(INDEX(CP_Setembro!$J$5:$J$126,MATCH("F|"&amp;A76,CP_Setembro!$A$5:$A$126,0)),0)</f>
        <v>0</v>
      </c>
      <c r="M76" s="28" t="str">
        <f t="shared" si="8"/>
        <v>OK</v>
      </c>
      <c r="N76" s="28"/>
    </row>
    <row r="77" spans="1:14" x14ac:dyDescent="0.3">
      <c r="A77" s="27" t="str">
        <f>Conciliacao!B77</f>
        <v>170363</v>
      </c>
      <c r="B77" s="27" t="str">
        <f>Conciliacao!D77</f>
        <v>ZAP IND COM DE EQUIPAMENTOS</v>
      </c>
      <c r="C77" s="28" t="str">
        <f>IFERROR(INDEX(CP_Setembro!$C$5:$C$126,MATCH("F|"&amp;A77,CP_Setembro!$A$5:$A$126,0)),"NÃO ENCONTRADA")</f>
        <v>ZAP IND COM DE EQUIPAMENTOS PARA CONSTRUCAO LTDA</v>
      </c>
      <c r="D77" s="29">
        <f>Conciliacao!E77</f>
        <v>8015.46</v>
      </c>
      <c r="E77" s="30">
        <f>IFERROR(INDEX(CP_Setembro!$I$5:$I$126,MATCH("F|"&amp;A77,CP_Setembro!$A$5:$A$126,0)),0)</f>
        <v>8015.46</v>
      </c>
      <c r="F77" s="30">
        <f t="shared" si="6"/>
        <v>0</v>
      </c>
      <c r="G77" s="29">
        <f>Conciliacao!F77</f>
        <v>8015.46</v>
      </c>
      <c r="H77" s="30">
        <f>IFERROR(INDEX(CP_Setembro!$M$5:$M$126,MATCH("F|"&amp;A77,CP_Setembro!$A$5:$A$126,0)),0)</f>
        <v>8015.46</v>
      </c>
      <c r="I77" s="30">
        <f t="shared" si="7"/>
        <v>0</v>
      </c>
      <c r="J77" s="30">
        <f>IFERROR(INDEX(CP_Setembro!$K$5:$K$126,MATCH("F|"&amp;A77,CP_Setembro!$A$5:$A$126,0)),0)</f>
        <v>0</v>
      </c>
      <c r="K77" s="30">
        <f>IFERROR(INDEX(CP_Setembro!$L$5:$L$126,MATCH("F|"&amp;A77,CP_Setembro!$A$5:$A$126,0)),0)</f>
        <v>0</v>
      </c>
      <c r="L77" s="30">
        <f>IFERROR(INDEX(CP_Setembro!$J$5:$J$126,MATCH("F|"&amp;A77,CP_Setembro!$A$5:$A$126,0)),0)</f>
        <v>0</v>
      </c>
      <c r="M77" s="28" t="str">
        <f t="shared" si="8"/>
        <v>OK</v>
      </c>
      <c r="N77" s="28"/>
    </row>
    <row r="78" spans="1:14" x14ac:dyDescent="0.3">
      <c r="A78" s="27" t="str">
        <f>Conciliacao!B78</f>
        <v>284764</v>
      </c>
      <c r="B78" s="27" t="str">
        <f>Conciliacao!D78</f>
        <v>QUIBRITA MINERAÇÃO</v>
      </c>
      <c r="C78" s="28" t="str">
        <f>IFERROR(INDEX(CP_Setembro!$C$5:$C$126,MATCH("F|"&amp;A78,CP_Setembro!$A$5:$A$126,0)),"NÃO ENCONTRADA")</f>
        <v>QUIBRITA MINERADORA LTDA.</v>
      </c>
      <c r="D78" s="29">
        <f>Conciliacao!E78</f>
        <v>1826.74</v>
      </c>
      <c r="E78" s="30">
        <f>IFERROR(INDEX(CP_Setembro!$I$5:$I$126,MATCH("F|"&amp;A78,CP_Setembro!$A$5:$A$126,0)),0)</f>
        <v>1826.74</v>
      </c>
      <c r="F78" s="30">
        <f t="shared" si="6"/>
        <v>0</v>
      </c>
      <c r="G78" s="29">
        <f>Conciliacao!F78</f>
        <v>1826.74</v>
      </c>
      <c r="H78" s="30">
        <f>IFERROR(INDEX(CP_Setembro!$M$5:$M$126,MATCH("F|"&amp;A78,CP_Setembro!$A$5:$A$126,0)),0)</f>
        <v>1826.74</v>
      </c>
      <c r="I78" s="30">
        <f t="shared" si="7"/>
        <v>0</v>
      </c>
      <c r="J78" s="30">
        <f>IFERROR(INDEX(CP_Setembro!$K$5:$K$126,MATCH("F|"&amp;A78,CP_Setembro!$A$5:$A$126,0)),0)</f>
        <v>0</v>
      </c>
      <c r="K78" s="30">
        <f>IFERROR(INDEX(CP_Setembro!$L$5:$L$126,MATCH("F|"&amp;A78,CP_Setembro!$A$5:$A$126,0)),0)</f>
        <v>0</v>
      </c>
      <c r="L78" s="30">
        <f>IFERROR(INDEX(CP_Setembro!$J$5:$J$126,MATCH("F|"&amp;A78,CP_Setembro!$A$5:$A$126,0)),0)</f>
        <v>0</v>
      </c>
      <c r="M78" s="28" t="str">
        <f t="shared" si="8"/>
        <v>OK</v>
      </c>
      <c r="N78" s="28"/>
    </row>
    <row r="79" spans="1:14" x14ac:dyDescent="0.3">
      <c r="A79" s="27" t="str">
        <f>Conciliacao!B79</f>
        <v>284745</v>
      </c>
      <c r="B79" s="27" t="str">
        <f>Conciliacao!D79</f>
        <v>QUIBRITA MINERAÇÃO</v>
      </c>
      <c r="C79" s="28" t="str">
        <f>IFERROR(INDEX(CP_Setembro!$C$5:$C$126,MATCH("F|"&amp;A79,CP_Setembro!$A$5:$A$126,0)),"NÃO ENCONTRADA")</f>
        <v>QUIBRITA MINERADORA LTDA.</v>
      </c>
      <c r="D79" s="29">
        <f>Conciliacao!E79</f>
        <v>1929.55</v>
      </c>
      <c r="E79" s="30">
        <f>IFERROR(INDEX(CP_Setembro!$I$5:$I$126,MATCH("F|"&amp;A79,CP_Setembro!$A$5:$A$126,0)),0)</f>
        <v>1929.55</v>
      </c>
      <c r="F79" s="30">
        <f t="shared" si="6"/>
        <v>0</v>
      </c>
      <c r="G79" s="29">
        <f>Conciliacao!F79</f>
        <v>1929.55</v>
      </c>
      <c r="H79" s="30">
        <f>IFERROR(INDEX(CP_Setembro!$M$5:$M$126,MATCH("F|"&amp;A79,CP_Setembro!$A$5:$A$126,0)),0)</f>
        <v>1929.55</v>
      </c>
      <c r="I79" s="30">
        <f t="shared" si="7"/>
        <v>0</v>
      </c>
      <c r="J79" s="30">
        <f>IFERROR(INDEX(CP_Setembro!$K$5:$K$126,MATCH("F|"&amp;A79,CP_Setembro!$A$5:$A$126,0)),0)</f>
        <v>0</v>
      </c>
      <c r="K79" s="30">
        <f>IFERROR(INDEX(CP_Setembro!$L$5:$L$126,MATCH("F|"&amp;A79,CP_Setembro!$A$5:$A$126,0)),0)</f>
        <v>0</v>
      </c>
      <c r="L79" s="30">
        <f>IFERROR(INDEX(CP_Setembro!$J$5:$J$126,MATCH("F|"&amp;A79,CP_Setembro!$A$5:$A$126,0)),0)</f>
        <v>0</v>
      </c>
      <c r="M79" s="28" t="str">
        <f t="shared" si="8"/>
        <v>OK</v>
      </c>
      <c r="N79" s="28"/>
    </row>
    <row r="80" spans="1:14" x14ac:dyDescent="0.3">
      <c r="A80" s="27" t="str">
        <f>Conciliacao!B80</f>
        <v>302</v>
      </c>
      <c r="B80" s="27" t="str">
        <f>Conciliacao!D80</f>
        <v>VOLLUI TECNOLOGIA</v>
      </c>
      <c r="C80" s="28" t="str">
        <f>IFERROR(INDEX(CP_Setembro!$C$5:$C$126,MATCH("F|"&amp;A80,CP_Setembro!$A$5:$A$126,0)),"NÃO ENCONTRADA")</f>
        <v>VOLLUI TECNOLOGIA LTDA</v>
      </c>
      <c r="D80" s="29">
        <f>Conciliacao!E80</f>
        <v>583.48</v>
      </c>
      <c r="E80" s="30">
        <f>IFERROR(INDEX(CP_Setembro!$I$5:$I$126,MATCH("F|"&amp;A80,CP_Setembro!$A$5:$A$126,0)),0)</f>
        <v>583.48</v>
      </c>
      <c r="F80" s="30">
        <f t="shared" si="6"/>
        <v>0</v>
      </c>
      <c r="G80" s="29">
        <f>Conciliacao!F80</f>
        <v>583.48</v>
      </c>
      <c r="H80" s="30">
        <f>IFERROR(INDEX(CP_Setembro!$M$5:$M$126,MATCH("F|"&amp;A80,CP_Setembro!$A$5:$A$126,0)),0)</f>
        <v>583.48</v>
      </c>
      <c r="I80" s="30">
        <f t="shared" si="7"/>
        <v>0</v>
      </c>
      <c r="J80" s="30">
        <f>IFERROR(INDEX(CP_Setembro!$K$5:$K$126,MATCH("F|"&amp;A80,CP_Setembro!$A$5:$A$126,0)),0)</f>
        <v>0</v>
      </c>
      <c r="K80" s="30">
        <f>IFERROR(INDEX(CP_Setembro!$L$5:$L$126,MATCH("F|"&amp;A80,CP_Setembro!$A$5:$A$126,0)),0)</f>
        <v>0</v>
      </c>
      <c r="L80" s="30">
        <f>IFERROR(INDEX(CP_Setembro!$J$5:$J$126,MATCH("F|"&amp;A80,CP_Setembro!$A$5:$A$126,0)),0)</f>
        <v>0</v>
      </c>
      <c r="M80" s="28" t="str">
        <f t="shared" si="8"/>
        <v>OK</v>
      </c>
      <c r="N80" s="28"/>
    </row>
    <row r="81" spans="1:14" x14ac:dyDescent="0.3">
      <c r="A81" s="27" t="str">
        <f>Conciliacao!B81</f>
        <v>303</v>
      </c>
      <c r="B81" s="27" t="str">
        <f>Conciliacao!D81</f>
        <v>VOLLUI TECNOLOGIA</v>
      </c>
      <c r="C81" s="28" t="str">
        <f>IFERROR(INDEX(CP_Setembro!$C$5:$C$126,MATCH("F|"&amp;A81,CP_Setembro!$A$5:$A$126,0)),"NÃO ENCONTRADA")</f>
        <v>VOLLUI TECNOLOGIA LTDA</v>
      </c>
      <c r="D81" s="29">
        <f>Conciliacao!E81</f>
        <v>583.48</v>
      </c>
      <c r="E81" s="30">
        <f>IFERROR(INDEX(CP_Setembro!$I$5:$I$126,MATCH("F|"&amp;A81,CP_Setembro!$A$5:$A$126,0)),0)</f>
        <v>583.48</v>
      </c>
      <c r="F81" s="30">
        <f t="shared" si="6"/>
        <v>0</v>
      </c>
      <c r="G81" s="29">
        <f>Conciliacao!F81</f>
        <v>583.48</v>
      </c>
      <c r="H81" s="30">
        <f>IFERROR(INDEX(CP_Setembro!$M$5:$M$126,MATCH("F|"&amp;A81,CP_Setembro!$A$5:$A$126,0)),0)</f>
        <v>583.48</v>
      </c>
      <c r="I81" s="30">
        <f t="shared" si="7"/>
        <v>0</v>
      </c>
      <c r="J81" s="30">
        <f>IFERROR(INDEX(CP_Setembro!$K$5:$K$126,MATCH("F|"&amp;A81,CP_Setembro!$A$5:$A$126,0)),0)</f>
        <v>0</v>
      </c>
      <c r="K81" s="30">
        <f>IFERROR(INDEX(CP_Setembro!$L$5:$L$126,MATCH("F|"&amp;A81,CP_Setembro!$A$5:$A$126,0)),0)</f>
        <v>0</v>
      </c>
      <c r="L81" s="30">
        <f>IFERROR(INDEX(CP_Setembro!$J$5:$J$126,MATCH("F|"&amp;A81,CP_Setembro!$A$5:$A$126,0)),0)</f>
        <v>0</v>
      </c>
      <c r="M81" s="28" t="str">
        <f t="shared" si="8"/>
        <v>OK</v>
      </c>
      <c r="N81" s="28"/>
    </row>
    <row r="82" spans="1:14" x14ac:dyDescent="0.3">
      <c r="A82" s="27" t="str">
        <f>Conciliacao!B82</f>
        <v>301</v>
      </c>
      <c r="B82" s="27" t="str">
        <f>Conciliacao!D82</f>
        <v>VOLLUI TECNOLOGIA</v>
      </c>
      <c r="C82" s="28" t="str">
        <f>IFERROR(INDEX(CP_Setembro!$C$5:$C$126,MATCH("F|"&amp;A82,CP_Setembro!$A$5:$A$126,0)),"NÃO ENCONTRADA")</f>
        <v>VOLLUI TECNOLOGIA LTDA</v>
      </c>
      <c r="D82" s="29">
        <f>Conciliacao!E82</f>
        <v>1320</v>
      </c>
      <c r="E82" s="30">
        <f>IFERROR(INDEX(CP_Setembro!$I$5:$I$126,MATCH("F|"&amp;A82,CP_Setembro!$A$5:$A$126,0)),0)</f>
        <v>1320</v>
      </c>
      <c r="F82" s="30">
        <f t="shared" si="6"/>
        <v>0</v>
      </c>
      <c r="G82" s="29">
        <f>Conciliacao!F82</f>
        <v>1320</v>
      </c>
      <c r="H82" s="30">
        <f>IFERROR(INDEX(CP_Setembro!$M$5:$M$126,MATCH("F|"&amp;A82,CP_Setembro!$A$5:$A$126,0)),0)</f>
        <v>1320</v>
      </c>
      <c r="I82" s="30">
        <f t="shared" si="7"/>
        <v>0</v>
      </c>
      <c r="J82" s="30">
        <f>IFERROR(INDEX(CP_Setembro!$K$5:$K$126,MATCH("F|"&amp;A82,CP_Setembro!$A$5:$A$126,0)),0)</f>
        <v>0</v>
      </c>
      <c r="K82" s="30">
        <f>IFERROR(INDEX(CP_Setembro!$L$5:$L$126,MATCH("F|"&amp;A82,CP_Setembro!$A$5:$A$126,0)),0)</f>
        <v>0</v>
      </c>
      <c r="L82" s="30">
        <f>IFERROR(INDEX(CP_Setembro!$J$5:$J$126,MATCH("F|"&amp;A82,CP_Setembro!$A$5:$A$126,0)),0)</f>
        <v>0</v>
      </c>
      <c r="M82" s="28" t="str">
        <f t="shared" si="8"/>
        <v>OK</v>
      </c>
      <c r="N82" s="28"/>
    </row>
    <row r="83" spans="1:14" x14ac:dyDescent="0.3">
      <c r="A83" s="27" t="str">
        <f>Conciliacao!B83</f>
        <v>285012</v>
      </c>
      <c r="B83" s="27" t="str">
        <f>Conciliacao!D83</f>
        <v>QUIBRITA MINERAÇÃO</v>
      </c>
      <c r="C83" s="28" t="str">
        <f>IFERROR(INDEX(CP_Setembro!$C$5:$C$126,MATCH("F|"&amp;A83,CP_Setembro!$A$5:$A$126,0)),"NÃO ENCONTRADA")</f>
        <v>QUIBRITA MINERADORA LTDA.</v>
      </c>
      <c r="D83" s="29">
        <f>Conciliacao!E83</f>
        <v>2118.4499999999998</v>
      </c>
      <c r="E83" s="30">
        <f>IFERROR(INDEX(CP_Setembro!$I$5:$I$126,MATCH("F|"&amp;A83,CP_Setembro!$A$5:$A$126,0)),0)</f>
        <v>2118.4499999999998</v>
      </c>
      <c r="F83" s="30">
        <f t="shared" si="6"/>
        <v>0</v>
      </c>
      <c r="G83" s="29">
        <f>Conciliacao!F83</f>
        <v>2118.4499999999998</v>
      </c>
      <c r="H83" s="30">
        <f>IFERROR(INDEX(CP_Setembro!$M$5:$M$126,MATCH("F|"&amp;A83,CP_Setembro!$A$5:$A$126,0)),0)</f>
        <v>2118.4499999999998</v>
      </c>
      <c r="I83" s="30">
        <f t="shared" si="7"/>
        <v>0</v>
      </c>
      <c r="J83" s="30">
        <f>IFERROR(INDEX(CP_Setembro!$K$5:$K$126,MATCH("F|"&amp;A83,CP_Setembro!$A$5:$A$126,0)),0)</f>
        <v>0</v>
      </c>
      <c r="K83" s="30">
        <f>IFERROR(INDEX(CP_Setembro!$L$5:$L$126,MATCH("F|"&amp;A83,CP_Setembro!$A$5:$A$126,0)),0)</f>
        <v>0</v>
      </c>
      <c r="L83" s="30">
        <f>IFERROR(INDEX(CP_Setembro!$J$5:$J$126,MATCH("F|"&amp;A83,CP_Setembro!$A$5:$A$126,0)),0)</f>
        <v>0</v>
      </c>
      <c r="M83" s="28" t="str">
        <f t="shared" si="8"/>
        <v>OK</v>
      </c>
      <c r="N83" s="28"/>
    </row>
    <row r="84" spans="1:14" x14ac:dyDescent="0.3">
      <c r="A84" s="27" t="str">
        <f>Conciliacao!B84</f>
        <v>282011</v>
      </c>
      <c r="B84" s="27" t="str">
        <f>Conciliacao!D84</f>
        <v>QUIBRITA MINERAÇÃO</v>
      </c>
      <c r="C84" s="28" t="str">
        <f>IFERROR(INDEX(CP_Setembro!$C$5:$C$126,MATCH("F|"&amp;A84,CP_Setembro!$A$5:$A$126,0)),"NÃO ENCONTRADA")</f>
        <v>QUIBRITA MINERADORA LTDA.</v>
      </c>
      <c r="D84" s="29">
        <f>Conciliacao!E84</f>
        <v>1904.22</v>
      </c>
      <c r="E84" s="30">
        <f>IFERROR(INDEX(CP_Setembro!$I$5:$I$126,MATCH("F|"&amp;A84,CP_Setembro!$A$5:$A$126,0)),0)</f>
        <v>1904.22</v>
      </c>
      <c r="F84" s="30">
        <f t="shared" si="6"/>
        <v>0</v>
      </c>
      <c r="G84" s="29">
        <f>Conciliacao!F84</f>
        <v>1904.22</v>
      </c>
      <c r="H84" s="30">
        <f>IFERROR(INDEX(CP_Setembro!$M$5:$M$126,MATCH("F|"&amp;A84,CP_Setembro!$A$5:$A$126,0)),0)</f>
        <v>1904.22</v>
      </c>
      <c r="I84" s="30">
        <f t="shared" si="7"/>
        <v>0</v>
      </c>
      <c r="J84" s="30">
        <f>IFERROR(INDEX(CP_Setembro!$K$5:$K$126,MATCH("F|"&amp;A84,CP_Setembro!$A$5:$A$126,0)),0)</f>
        <v>0</v>
      </c>
      <c r="K84" s="30">
        <f>IFERROR(INDEX(CP_Setembro!$L$5:$L$126,MATCH("F|"&amp;A84,CP_Setembro!$A$5:$A$126,0)),0)</f>
        <v>0</v>
      </c>
      <c r="L84" s="30">
        <f>IFERROR(INDEX(CP_Setembro!$J$5:$J$126,MATCH("F|"&amp;A84,CP_Setembro!$A$5:$A$126,0)),0)</f>
        <v>0</v>
      </c>
      <c r="M84" s="28" t="str">
        <f t="shared" si="8"/>
        <v>OK</v>
      </c>
      <c r="N84" s="28"/>
    </row>
    <row r="85" spans="1:14" x14ac:dyDescent="0.3">
      <c r="A85" s="27" t="str">
        <f>Conciliacao!B85</f>
        <v>613</v>
      </c>
      <c r="B85" s="27" t="str">
        <f>Conciliacao!D85</f>
        <v>D PAULA TERRAPLANAGEM</v>
      </c>
      <c r="C85" s="28" t="str">
        <f>IFERROR(INDEX(CP_Setembro!$C$5:$C$126,MATCH("F|"&amp;A85,CP_Setembro!$A$5:$A$126,0)),"NÃO ENCONTRADA")</f>
        <v>D PAULA TERRAPLENAGEM E CONSTRUCAO CIVIL LTDA</v>
      </c>
      <c r="D85" s="29">
        <f>Conciliacao!E85</f>
        <v>225614.56</v>
      </c>
      <c r="E85" s="30">
        <f>IFERROR(INDEX(CP_Setembro!$I$5:$I$126,MATCH("F|"&amp;A85,CP_Setembro!$A$5:$A$126,0)),0)</f>
        <v>225614.56</v>
      </c>
      <c r="F85" s="30">
        <f t="shared" si="6"/>
        <v>0</v>
      </c>
      <c r="G85" s="29">
        <f>Conciliacao!F85</f>
        <v>225614.56</v>
      </c>
      <c r="H85" s="30">
        <f>IFERROR(INDEX(CP_Setembro!$M$5:$M$126,MATCH("F|"&amp;A85,CP_Setembro!$A$5:$A$126,0)),0)</f>
        <v>225614.56</v>
      </c>
      <c r="I85" s="30">
        <f t="shared" si="7"/>
        <v>0</v>
      </c>
      <c r="J85" s="30">
        <f>IFERROR(INDEX(CP_Setembro!$K$5:$K$126,MATCH("F|"&amp;A85,CP_Setembro!$A$5:$A$126,0)),0)</f>
        <v>0</v>
      </c>
      <c r="K85" s="30">
        <f>IFERROR(INDEX(CP_Setembro!$L$5:$L$126,MATCH("F|"&amp;A85,CP_Setembro!$A$5:$A$126,0)),0)</f>
        <v>0</v>
      </c>
      <c r="L85" s="30">
        <f>IFERROR(INDEX(CP_Setembro!$J$5:$J$126,MATCH("F|"&amp;A85,CP_Setembro!$A$5:$A$126,0)),0)</f>
        <v>0</v>
      </c>
      <c r="M85" s="28" t="str">
        <f t="shared" si="8"/>
        <v>OK</v>
      </c>
      <c r="N85" s="28"/>
    </row>
    <row r="86" spans="1:14" x14ac:dyDescent="0.3">
      <c r="A86" s="27" t="str">
        <f>Conciliacao!B86</f>
        <v>543</v>
      </c>
      <c r="B86" s="27" t="str">
        <f>Conciliacao!D86</f>
        <v>PETRA SOLUÇÕES</v>
      </c>
      <c r="C86" s="28" t="str">
        <f>IFERROR(INDEX(CP_Setembro!$C$5:$C$126,MATCH("F|"&amp;A86,CP_Setembro!$A$5:$A$126,0)),"NÃO ENCONTRADA")</f>
        <v>PETRA SOLUCOES AMBIENTAIS LTDA</v>
      </c>
      <c r="D86" s="29">
        <f>Conciliacao!E86</f>
        <v>57860.4</v>
      </c>
      <c r="E86" s="30">
        <f>IFERROR(INDEX(CP_Setembro!$I$5:$I$126,MATCH("F|"&amp;A86,CP_Setembro!$A$5:$A$126,0)),0)</f>
        <v>57860.4</v>
      </c>
      <c r="F86" s="30">
        <f t="shared" si="6"/>
        <v>0</v>
      </c>
      <c r="G86" s="29">
        <f>Conciliacao!F86</f>
        <v>57860.4</v>
      </c>
      <c r="H86" s="30">
        <f>IFERROR(INDEX(CP_Setembro!$M$5:$M$126,MATCH("F|"&amp;A86,CP_Setembro!$A$5:$A$126,0)),0)</f>
        <v>57860.4</v>
      </c>
      <c r="I86" s="30">
        <f t="shared" si="7"/>
        <v>0</v>
      </c>
      <c r="J86" s="30">
        <f>IFERROR(INDEX(CP_Setembro!$K$5:$K$126,MATCH("F|"&amp;A86,CP_Setembro!$A$5:$A$126,0)),0)</f>
        <v>0</v>
      </c>
      <c r="K86" s="30">
        <f>IFERROR(INDEX(CP_Setembro!$L$5:$L$126,MATCH("F|"&amp;A86,CP_Setembro!$A$5:$A$126,0)),0)</f>
        <v>0</v>
      </c>
      <c r="L86" s="30">
        <f>IFERROR(INDEX(CP_Setembro!$J$5:$J$126,MATCH("F|"&amp;A86,CP_Setembro!$A$5:$A$126,0)),0)</f>
        <v>0</v>
      </c>
      <c r="M86" s="28" t="str">
        <f t="shared" si="8"/>
        <v>OK</v>
      </c>
      <c r="N86" s="28"/>
    </row>
    <row r="87" spans="1:14" x14ac:dyDescent="0.3">
      <c r="A87" s="27" t="str">
        <f>Conciliacao!B87</f>
        <v>194</v>
      </c>
      <c r="B87" s="27" t="str">
        <f>Conciliacao!D87</f>
        <v>ROCONTEC CORPORATIVO TAXA</v>
      </c>
      <c r="C87" s="28" t="str">
        <f>IFERROR(INDEX(CP_Setembro!$C$5:$C$126,MATCH("F|"&amp;A87,CP_Setembro!$A$5:$A$126,0)),"NÃO ENCONTRADA")</f>
        <v>ROCONTEC CORPORATIVO LTDA (Fornecedor)</v>
      </c>
      <c r="D87" s="29">
        <f>Conciliacao!E87</f>
        <v>109865.42</v>
      </c>
      <c r="E87" s="30">
        <f>IFERROR(INDEX(CP_Setembro!$I$5:$I$126,MATCH("F|"&amp;A87,CP_Setembro!$A$5:$A$126,0)),0)</f>
        <v>109865.42</v>
      </c>
      <c r="F87" s="30">
        <f t="shared" si="6"/>
        <v>0</v>
      </c>
      <c r="G87" s="29">
        <f>Conciliacao!F87</f>
        <v>97615.43</v>
      </c>
      <c r="H87" s="30">
        <f>IFERROR(INDEX(CP_Setembro!$M$5:$M$126,MATCH("F|"&amp;A87,CP_Setembro!$A$5:$A$126,0)),0)</f>
        <v>97615.43</v>
      </c>
      <c r="I87" s="30">
        <f t="shared" si="7"/>
        <v>0</v>
      </c>
      <c r="J87" s="30">
        <f>IFERROR(INDEX(CP_Setembro!$K$5:$K$126,MATCH("F|"&amp;A87,CP_Setembro!$A$5:$A$126,0)),0)</f>
        <v>0</v>
      </c>
      <c r="K87" s="30">
        <f>IFERROR(INDEX(CP_Setembro!$L$5:$L$126,MATCH("F|"&amp;A87,CP_Setembro!$A$5:$A$126,0)),0)</f>
        <v>0</v>
      </c>
      <c r="L87" s="30">
        <f>IFERROR(INDEX(CP_Setembro!$J$5:$J$126,MATCH("F|"&amp;A87,CP_Setembro!$A$5:$A$126,0)),0)</f>
        <v>12249.99</v>
      </c>
      <c r="M87" s="28" t="str">
        <f t="shared" si="8"/>
        <v>OK</v>
      </c>
      <c r="N87" s="28"/>
    </row>
    <row r="88" spans="1:14" x14ac:dyDescent="0.3">
      <c r="A88" s="27" t="str">
        <f>Conciliacao!B88</f>
        <v>23</v>
      </c>
      <c r="B88" s="27" t="str">
        <f>Conciliacao!D88</f>
        <v>LAURA TERRAPLANAGEM</v>
      </c>
      <c r="C88" s="28" t="str">
        <f>IFERROR(INDEX(CP_Setembro!$C$5:$C$126,MATCH("F|"&amp;A88,CP_Setembro!$A$5:$A$126,0)),"NÃO ENCONTRADA")</f>
        <v>LAUREA TERRAPLENAGEM E ALUGUEL DE MAQUINAS E EQUIPAMENTOS LTDA</v>
      </c>
      <c r="D88" s="29">
        <f>Conciliacao!E88</f>
        <v>3000</v>
      </c>
      <c r="E88" s="30">
        <f>IFERROR(INDEX(CP_Setembro!$I$5:$I$126,MATCH("F|"&amp;A88,CP_Setembro!$A$5:$A$126,0)),0)</f>
        <v>3000</v>
      </c>
      <c r="F88" s="30">
        <f t="shared" si="6"/>
        <v>0</v>
      </c>
      <c r="G88" s="29">
        <f>Conciliacao!F88</f>
        <v>3000</v>
      </c>
      <c r="H88" s="30">
        <f>IFERROR(INDEX(CP_Setembro!$M$5:$M$126,MATCH("F|"&amp;A88,CP_Setembro!$A$5:$A$126,0)),0)</f>
        <v>3000</v>
      </c>
      <c r="I88" s="30">
        <f t="shared" si="7"/>
        <v>0</v>
      </c>
      <c r="J88" s="30">
        <f>IFERROR(INDEX(CP_Setembro!$K$5:$K$126,MATCH("F|"&amp;A88,CP_Setembro!$A$5:$A$126,0)),0)</f>
        <v>0</v>
      </c>
      <c r="K88" s="30">
        <f>IFERROR(INDEX(CP_Setembro!$L$5:$L$126,MATCH("F|"&amp;A88,CP_Setembro!$A$5:$A$126,0)),0)</f>
        <v>0</v>
      </c>
      <c r="L88" s="30">
        <f>IFERROR(INDEX(CP_Setembro!$J$5:$J$126,MATCH("F|"&amp;A88,CP_Setembro!$A$5:$A$126,0)),0)</f>
        <v>0</v>
      </c>
      <c r="M88" s="28" t="str">
        <f t="shared" si="8"/>
        <v>OK</v>
      </c>
      <c r="N88" s="28"/>
    </row>
    <row r="89" spans="1:14" x14ac:dyDescent="0.3">
      <c r="A89" s="27" t="str">
        <f>Conciliacao!B89</f>
        <v>1</v>
      </c>
      <c r="B89" s="27" t="str">
        <f>Conciliacao!D89</f>
        <v>LAURA COMERCIO DE PANIFICAD.</v>
      </c>
      <c r="C89" s="28" t="str">
        <f>IFERROR(INDEX(CP_Setembro!$C$5:$C$126,MATCH("F|"&amp;A89,CP_Setembro!$A$5:$A$126,0)),"NÃO ENCONTRADA")</f>
        <v>LAUREA COMERCIO DE PANIFICACAO LTDA</v>
      </c>
      <c r="D89" s="29">
        <f>Conciliacao!E89</f>
        <v>4920</v>
      </c>
      <c r="E89" s="30">
        <f>IFERROR(INDEX(CP_Setembro!$I$5:$I$126,MATCH("F|"&amp;A89,CP_Setembro!$A$5:$A$126,0)),0)</f>
        <v>4920</v>
      </c>
      <c r="F89" s="30">
        <f t="shared" si="6"/>
        <v>0</v>
      </c>
      <c r="G89" s="29">
        <f>Conciliacao!F89</f>
        <v>4920</v>
      </c>
      <c r="H89" s="30">
        <f>IFERROR(INDEX(CP_Setembro!$M$5:$M$126,MATCH("F|"&amp;A89,CP_Setembro!$A$5:$A$126,0)),0)</f>
        <v>4920</v>
      </c>
      <c r="I89" s="30">
        <f t="shared" si="7"/>
        <v>0</v>
      </c>
      <c r="J89" s="30">
        <f>IFERROR(INDEX(CP_Setembro!$K$5:$K$126,MATCH("F|"&amp;A89,CP_Setembro!$A$5:$A$126,0)),0)</f>
        <v>0</v>
      </c>
      <c r="K89" s="30">
        <f>IFERROR(INDEX(CP_Setembro!$L$5:$L$126,MATCH("F|"&amp;A89,CP_Setembro!$A$5:$A$126,0)),0)</f>
        <v>0</v>
      </c>
      <c r="L89" s="30">
        <f>IFERROR(INDEX(CP_Setembro!$J$5:$J$126,MATCH("F|"&amp;A89,CP_Setembro!$A$5:$A$126,0)),0)</f>
        <v>0</v>
      </c>
      <c r="M89" s="28" t="str">
        <f t="shared" si="8"/>
        <v>OK</v>
      </c>
      <c r="N89" s="28"/>
    </row>
    <row r="90" spans="1:14" x14ac:dyDescent="0.3">
      <c r="A90" s="27" t="str">
        <f>Conciliacao!B90</f>
        <v>5880</v>
      </c>
      <c r="B90" s="27" t="str">
        <f>Conciliacao!D90</f>
        <v>ROCONTEC CESSÃO</v>
      </c>
      <c r="C90" s="28" t="str">
        <f>IFERROR(INDEX(CP_Setembro!$C$5:$C$126,MATCH("F|"&amp;A90,CP_Setembro!$A$5:$A$126,0)),"NÃO ENCONTRADA")</f>
        <v>ROCONTEC CESSAO DE MAO DE OBRA LTDA (Fornecedor)</v>
      </c>
      <c r="D90" s="29">
        <f>Conciliacao!E90</f>
        <v>247097.75</v>
      </c>
      <c r="E90" s="30">
        <f>IFERROR(INDEX(CP_Setembro!$I$5:$I$126,MATCH("F|"&amp;A90,CP_Setembro!$A$5:$A$126,0)),0)</f>
        <v>247097.75</v>
      </c>
      <c r="F90" s="30">
        <f t="shared" si="6"/>
        <v>0</v>
      </c>
      <c r="G90" s="29">
        <f>Conciliacao!F90</f>
        <v>226094.44</v>
      </c>
      <c r="H90" s="30">
        <f>IFERROR(INDEX(CP_Setembro!$M$5:$M$126,MATCH("F|"&amp;A90,CP_Setembro!$A$5:$A$126,0)),0)</f>
        <v>226094.44</v>
      </c>
      <c r="I90" s="30">
        <f t="shared" si="7"/>
        <v>0</v>
      </c>
      <c r="J90" s="30">
        <f>IFERROR(INDEX(CP_Setembro!$K$5:$K$126,MATCH("F|"&amp;A90,CP_Setembro!$A$5:$A$126,0)),0)</f>
        <v>0</v>
      </c>
      <c r="K90" s="30">
        <f>IFERROR(INDEX(CP_Setembro!$L$5:$L$126,MATCH("F|"&amp;A90,CP_Setembro!$A$5:$A$126,0)),0)</f>
        <v>0</v>
      </c>
      <c r="L90" s="30">
        <f>IFERROR(INDEX(CP_Setembro!$J$5:$J$126,MATCH("F|"&amp;A90,CP_Setembro!$A$5:$A$126,0)),0)</f>
        <v>21003.31</v>
      </c>
      <c r="M90" s="28" t="str">
        <f t="shared" si="8"/>
        <v>OK</v>
      </c>
      <c r="N90" s="28"/>
    </row>
    <row r="91" spans="1:14" x14ac:dyDescent="0.3">
      <c r="B91" s="16" t="s">
        <v>282</v>
      </c>
      <c r="D91" s="17">
        <f t="shared" ref="D91:L91" si="9">SUM(D5:D90)</f>
        <v>3523877.6400000006</v>
      </c>
      <c r="E91" s="17">
        <f t="shared" si="9"/>
        <v>3523655.0600000005</v>
      </c>
      <c r="F91" s="17">
        <f t="shared" si="9"/>
        <v>222.58000000000061</v>
      </c>
      <c r="G91" s="17">
        <f t="shared" si="9"/>
        <v>3427124.2000000007</v>
      </c>
      <c r="H91" s="17">
        <f t="shared" si="9"/>
        <v>3427124.850000001</v>
      </c>
      <c r="I91" s="17">
        <f t="shared" si="9"/>
        <v>-0.65000000000009095</v>
      </c>
      <c r="J91" s="17">
        <f t="shared" si="9"/>
        <v>7.5</v>
      </c>
      <c r="K91" s="17">
        <f t="shared" si="9"/>
        <v>3.02</v>
      </c>
      <c r="L91" s="17">
        <f t="shared" si="9"/>
        <v>96525.73</v>
      </c>
    </row>
    <row r="93" spans="1:14" x14ac:dyDescent="0.3">
      <c r="B93" s="16" t="s">
        <v>536</v>
      </c>
      <c r="C93">
        <f>COUNTIF(M5:M90,"OK")</f>
        <v>80</v>
      </c>
    </row>
    <row r="94" spans="1:14" x14ac:dyDescent="0.3">
      <c r="B94" s="16" t="s">
        <v>537</v>
      </c>
      <c r="C94">
        <f>COUNTIF(M5:M90,"DIVERGE")</f>
        <v>6</v>
      </c>
    </row>
    <row r="95" spans="1:14" x14ac:dyDescent="0.3">
      <c r="B95" s="16" t="s">
        <v>23</v>
      </c>
      <c r="C95">
        <f>COUNTIF(M5:M90,"NÃO ENCONTRADA")</f>
        <v>0</v>
      </c>
    </row>
    <row r="96" spans="1:14" x14ac:dyDescent="0.3">
      <c r="B96" s="16" t="s">
        <v>538</v>
      </c>
      <c r="C96">
        <f>COUNTIF(CP_Setembro!$B$5:$B$126,"Fornecedor")-COUNTIF(M5:M90,"&lt;&gt;NÃO ENCONTRADA")</f>
        <v>0</v>
      </c>
    </row>
  </sheetData>
  <autoFilter ref="A4:N90" xr:uid="{00000000-0009-0000-0000-000005000000}"/>
  <conditionalFormatting sqref="M5:M90">
    <cfRule type="cellIs" dxfId="2" priority="2" operator="equal">
      <formula>"DIVERGE"</formula>
    </cfRule>
    <cfRule type="cellIs" dxfId="1" priority="3" operator="equal">
      <formula>"NÃO ENCONTRADA"</formula>
    </cfRule>
    <cfRule type="cellIs" dxfId="0" priority="4" operator="equal">
      <formula>"OK"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0"/>
  <sheetViews>
    <sheetView showGridLines="0" tabSelected="1" zoomScale="70" zoomScaleNormal="70" workbookViewId="0">
      <pane ySplit="3" topLeftCell="A4" activePane="bottomLeft" state="frozen"/>
      <selection pane="bottomLeft" activeCell="H25" sqref="H25:H26"/>
    </sheetView>
  </sheetViews>
  <sheetFormatPr defaultColWidth="8.6640625" defaultRowHeight="14.4" x14ac:dyDescent="0.3"/>
  <cols>
    <col min="1" max="1" width="10" customWidth="1"/>
    <col min="2" max="2" width="12" customWidth="1"/>
    <col min="3" max="3" width="81" customWidth="1"/>
    <col min="4" max="4" width="13" customWidth="1"/>
    <col min="5" max="5" width="73" customWidth="1"/>
    <col min="6" max="6" width="20.5546875" customWidth="1"/>
    <col min="7" max="7" width="3" customWidth="1"/>
    <col min="8" max="8" width="40" customWidth="1"/>
    <col min="9" max="9" width="18" customWidth="1"/>
    <col min="10" max="10" width="16" customWidth="1"/>
    <col min="11" max="11" width="14" customWidth="1"/>
  </cols>
  <sheetData>
    <row r="1" spans="1:11" ht="17.399999999999999" x14ac:dyDescent="0.3">
      <c r="A1" s="1" t="s">
        <v>539</v>
      </c>
    </row>
    <row r="3" spans="1:11" ht="30" customHeight="1" x14ac:dyDescent="0.3">
      <c r="A3" s="14" t="s">
        <v>69</v>
      </c>
      <c r="B3" s="14" t="s">
        <v>285</v>
      </c>
      <c r="C3" s="14" t="s">
        <v>540</v>
      </c>
      <c r="D3" s="14" t="s">
        <v>2</v>
      </c>
      <c r="E3" s="14" t="s">
        <v>541</v>
      </c>
      <c r="F3" s="14" t="s">
        <v>68</v>
      </c>
      <c r="H3" s="31" t="s">
        <v>69</v>
      </c>
      <c r="I3" s="31" t="s">
        <v>542</v>
      </c>
      <c r="J3" s="31" t="s">
        <v>543</v>
      </c>
      <c r="K3" s="31" t="s">
        <v>74</v>
      </c>
    </row>
    <row r="4" spans="1:11" x14ac:dyDescent="0.3">
      <c r="A4" s="4" t="s">
        <v>87</v>
      </c>
      <c r="B4" s="4" t="s">
        <v>170</v>
      </c>
      <c r="C4" s="4" t="s">
        <v>123</v>
      </c>
      <c r="D4" s="11">
        <v>161.65</v>
      </c>
      <c r="E4" s="4" t="str">
        <f>IFERROR(INDEX(CP_Setembro!$C$5:$C$126,MATCH("F|"&amp;B4,CP_Setembro!$A$5:$A$126,0)),"(NF não consta no CP de setembro)")</f>
        <v>(NF não consta no CP de setembro)</v>
      </c>
      <c r="F4" s="4" t="str">
        <f>IF(COUNTIF(Conciliacao!$B$5:$B$90,B4)&gt;0,IF(ISNUMBER(MATCH("F|"&amp;B4,CP_Setembro!$A$5:$A$126,0)),"Nesta conciliação","Lote anterior"),"Lote anterior")</f>
        <v>Lote anterior</v>
      </c>
      <c r="H4" s="28" t="s">
        <v>87</v>
      </c>
      <c r="I4" s="30">
        <f t="shared" ref="I4:I10" si="0">SUMIFS($D$4:$D$39,$A$4:$A$39,H4,$F$4:$F$39,"Nesta conciliação")</f>
        <v>19974.63</v>
      </c>
      <c r="J4" s="30">
        <f t="shared" ref="J4:J10" si="1">SUMIFS($D$4:$D$39,$A$4:$A$39,H4,$F$4:$F$39,"Lote anterior")</f>
        <v>3331.41</v>
      </c>
      <c r="K4" s="30">
        <f t="shared" ref="K4:K10" si="2">I4+J4</f>
        <v>23306.04</v>
      </c>
    </row>
    <row r="5" spans="1:11" x14ac:dyDescent="0.3">
      <c r="A5" s="4" t="s">
        <v>87</v>
      </c>
      <c r="B5" s="4" t="s">
        <v>220</v>
      </c>
      <c r="C5" s="4" t="s">
        <v>123</v>
      </c>
      <c r="D5" s="11">
        <v>470</v>
      </c>
      <c r="E5" s="4" t="str">
        <f>IFERROR(INDEX(CP_Setembro!$C$5:$C$126,MATCH("F|"&amp;B5,CP_Setembro!$A$5:$A$126,0)),"(NF não consta no CP de setembro)")</f>
        <v>(NF não consta no CP de setembro)</v>
      </c>
      <c r="F5" s="4" t="str">
        <f>IF(COUNTIF(Conciliacao!$B$5:$B$90,B5)&gt;0,IF(ISNUMBER(MATCH("F|"&amp;B5,CP_Setembro!$A$5:$A$126,0)),"Nesta conciliação","Lote anterior"),"Lote anterior")</f>
        <v>Lote anterior</v>
      </c>
      <c r="H5" s="28" t="s">
        <v>224</v>
      </c>
      <c r="I5" s="30">
        <f t="shared" si="0"/>
        <v>4448.66</v>
      </c>
      <c r="J5" s="30">
        <f t="shared" si="1"/>
        <v>679</v>
      </c>
      <c r="K5" s="30">
        <f t="shared" si="2"/>
        <v>5127.66</v>
      </c>
    </row>
    <row r="6" spans="1:11" x14ac:dyDescent="0.3">
      <c r="A6" s="4" t="s">
        <v>87</v>
      </c>
      <c r="B6" s="4" t="s">
        <v>188</v>
      </c>
      <c r="C6" s="4" t="s">
        <v>123</v>
      </c>
      <c r="D6" s="11">
        <v>90</v>
      </c>
      <c r="E6" s="4" t="str">
        <f>IFERROR(INDEX(CP_Setembro!$C$5:$C$126,MATCH("F|"&amp;B6,CP_Setembro!$A$5:$A$126,0)),"(NF não consta no CP de setembro)")</f>
        <v>AGUAJATO TRANSPORTES LTDA</v>
      </c>
      <c r="F6" s="4" t="str">
        <f>IF(COUNTIF(Conciliacao!$B$5:$B$90,B6)&gt;0,IF(ISNUMBER(MATCH("F|"&amp;B6,CP_Setembro!$A$5:$A$126,0)),"Nesta conciliação","Lote anterior"),"Lote anterior")</f>
        <v>Nesta conciliação</v>
      </c>
      <c r="H6" s="28" t="s">
        <v>111</v>
      </c>
      <c r="I6" s="30">
        <f t="shared" si="0"/>
        <v>354.3</v>
      </c>
      <c r="J6" s="30">
        <f t="shared" si="1"/>
        <v>546.0200000000001</v>
      </c>
      <c r="K6" s="30">
        <f t="shared" si="2"/>
        <v>900.32000000000016</v>
      </c>
    </row>
    <row r="7" spans="1:11" x14ac:dyDescent="0.3">
      <c r="A7" s="4" t="s">
        <v>87</v>
      </c>
      <c r="B7" s="4" t="s">
        <v>240</v>
      </c>
      <c r="C7" s="4" t="s">
        <v>123</v>
      </c>
      <c r="D7" s="11">
        <v>487.45</v>
      </c>
      <c r="E7" s="4" t="str">
        <f>IFERROR(INDEX(CP_Setembro!$C$5:$C$126,MATCH("F|"&amp;B7,CP_Setembro!$A$5:$A$126,0)),"(NF não consta no CP de setembro)")</f>
        <v>(NF não consta no CP de setembro)</v>
      </c>
      <c r="F7" s="4" t="str">
        <f>IF(COUNTIF(Conciliacao!$B$5:$B$90,B7)&gt;0,IF(ISNUMBER(MATCH("F|"&amp;B7,CP_Setembro!$A$5:$A$126,0)),"Nesta conciliação","Lote anterior"),"Lote anterior")</f>
        <v>Lote anterior</v>
      </c>
      <c r="H7" s="28" t="s">
        <v>297</v>
      </c>
      <c r="I7" s="30">
        <f t="shared" si="0"/>
        <v>0</v>
      </c>
      <c r="J7" s="30">
        <f t="shared" si="1"/>
        <v>1592.45</v>
      </c>
      <c r="K7" s="30">
        <f t="shared" si="2"/>
        <v>1592.45</v>
      </c>
    </row>
    <row r="8" spans="1:11" x14ac:dyDescent="0.3">
      <c r="A8" s="4" t="s">
        <v>87</v>
      </c>
      <c r="B8" s="4" t="s">
        <v>210</v>
      </c>
      <c r="C8" s="4" t="s">
        <v>123</v>
      </c>
      <c r="D8" s="11">
        <v>133.13999999999999</v>
      </c>
      <c r="E8" s="4" t="str">
        <f>IFERROR(INDEX(CP_Setembro!$C$5:$C$126,MATCH("F|"&amp;B8,CP_Setembro!$A$5:$A$126,0)),"(NF não consta no CP de setembro)")</f>
        <v>C &amp; N COPIADORA LTDA</v>
      </c>
      <c r="F8" s="4" t="str">
        <f>IF(COUNTIF(Conciliacao!$B$5:$B$90,B8)&gt;0,IF(ISNUMBER(MATCH("F|"&amp;B8,CP_Setembro!$A$5:$A$126,0)),"Nesta conciliação","Lote anterior"),"Lote anterior")</f>
        <v>Nesta conciliação</v>
      </c>
      <c r="H8" s="28" t="s">
        <v>192</v>
      </c>
      <c r="I8" s="30">
        <f t="shared" si="0"/>
        <v>708.6</v>
      </c>
      <c r="J8" s="30">
        <f t="shared" si="1"/>
        <v>96.99</v>
      </c>
      <c r="K8" s="30">
        <f t="shared" si="2"/>
        <v>805.59</v>
      </c>
    </row>
    <row r="9" spans="1:11" x14ac:dyDescent="0.3">
      <c r="A9" s="4" t="s">
        <v>87</v>
      </c>
      <c r="B9" s="4" t="s">
        <v>257</v>
      </c>
      <c r="C9" s="4" t="s">
        <v>123</v>
      </c>
      <c r="D9" s="11">
        <v>133.63999999999999</v>
      </c>
      <c r="E9" s="4" t="str">
        <f>IFERROR(INDEX(CP_Setembro!$C$5:$C$126,MATCH("F|"&amp;B9,CP_Setembro!$A$5:$A$126,0)),"(NF não consta no CP de setembro)")</f>
        <v>RILE CONSTRUCOES ELETRICAS LTDA</v>
      </c>
      <c r="F9" s="4" t="str">
        <f>IF(COUNTIF(Conciliacao!$B$5:$B$90,B9)&gt;0,IF(ISNUMBER(MATCH("F|"&amp;B9,CP_Setembro!$A$5:$A$126,0)),"Nesta conciliação","Lote anterior"),"Lote anterior")</f>
        <v>Nesta conciliação</v>
      </c>
      <c r="H9" s="28" t="s">
        <v>149</v>
      </c>
      <c r="I9" s="30">
        <f t="shared" si="0"/>
        <v>353.53000000000003</v>
      </c>
      <c r="J9" s="30">
        <f t="shared" si="1"/>
        <v>21.01</v>
      </c>
      <c r="K9" s="30">
        <f t="shared" si="2"/>
        <v>374.54</v>
      </c>
    </row>
    <row r="10" spans="1:11" x14ac:dyDescent="0.3">
      <c r="A10" s="4" t="s">
        <v>87</v>
      </c>
      <c r="B10" s="4" t="s">
        <v>145</v>
      </c>
      <c r="C10" s="4" t="s">
        <v>123</v>
      </c>
      <c r="D10" s="11">
        <v>36</v>
      </c>
      <c r="E10" s="4" t="str">
        <f>IFERROR(INDEX(CP_Setembro!$C$5:$C$126,MATCH("F|"&amp;B10,CP_Setembro!$A$5:$A$126,0)),"(NF não consta no CP de setembro)")</f>
        <v>PLANA REFLORESTAMENTO LTDA</v>
      </c>
      <c r="F10" s="4" t="str">
        <f>IF(COUNTIF(Conciliacao!$B$5:$B$90,B10)&gt;0,IF(ISNUMBER(MATCH("F|"&amp;B10,CP_Setembro!$A$5:$A$126,0)),"Nesta conciliação","Lote anterior"),"Lote anterior")</f>
        <v>Nesta conciliação</v>
      </c>
      <c r="H10" s="28" t="s">
        <v>214</v>
      </c>
      <c r="I10" s="30">
        <f t="shared" si="0"/>
        <v>36.200000000000003</v>
      </c>
      <c r="J10" s="30">
        <f t="shared" si="1"/>
        <v>32.33</v>
      </c>
      <c r="K10" s="30">
        <f t="shared" si="2"/>
        <v>68.53</v>
      </c>
    </row>
    <row r="11" spans="1:11" x14ac:dyDescent="0.3">
      <c r="A11" s="4" t="s">
        <v>87</v>
      </c>
      <c r="B11" s="4" t="s">
        <v>179</v>
      </c>
      <c r="C11" s="4" t="s">
        <v>123</v>
      </c>
      <c r="D11" s="11">
        <v>42.27</v>
      </c>
      <c r="E11" s="4" t="str">
        <f>IFERROR(INDEX(CP_Setembro!$C$5:$C$126,MATCH("F|"&amp;B11,CP_Setembro!$A$5:$A$126,0)),"(NF não consta no CP de setembro)")</f>
        <v>BRUNO GOMES FERREIRA</v>
      </c>
      <c r="F11" s="4" t="str">
        <f>IF(COUNTIF(Conciliacao!$B$5:$B$90,B11)&gt;0,IF(ISNUMBER(MATCH("F|"&amp;B11,CP_Setembro!$A$5:$A$126,0)),"Nesta conciliação","Lote anterior"),"Lote anterior")</f>
        <v>Nesta conciliação</v>
      </c>
      <c r="H11" s="16" t="s">
        <v>282</v>
      </c>
      <c r="I11" s="7">
        <f>SUM(I4:I10)</f>
        <v>25875.919999999998</v>
      </c>
      <c r="J11" s="7">
        <f>SUM(J4:J10)</f>
        <v>6299.21</v>
      </c>
      <c r="K11" s="7">
        <f>SUM(K4:K10)</f>
        <v>32175.13</v>
      </c>
    </row>
    <row r="12" spans="1:11" x14ac:dyDescent="0.3">
      <c r="A12" s="4" t="s">
        <v>87</v>
      </c>
      <c r="B12" s="4" t="s">
        <v>118</v>
      </c>
      <c r="C12" s="4" t="s">
        <v>123</v>
      </c>
      <c r="D12" s="11">
        <v>227.06</v>
      </c>
      <c r="E12" s="4" t="str">
        <f>IFERROR(INDEX(CP_Setembro!$C$5:$C$126,MATCH("F|"&amp;B12,CP_Setembro!$A$5:$A$126,0)),"(NF não consta no CP de setembro)")</f>
        <v>CONCRELONGO SERVICOS DE CONCRETAGEM LTDA</v>
      </c>
      <c r="F12" s="4" t="str">
        <f>IF(COUNTIF(Conciliacao!$B$5:$B$90,B12)&gt;0,IF(ISNUMBER(MATCH("F|"&amp;B12,CP_Setembro!$A$5:$A$126,0)),"Nesta conciliação","Lote anterior"),"Lote anterior")</f>
        <v>Nesta conciliação</v>
      </c>
    </row>
    <row r="13" spans="1:11" x14ac:dyDescent="0.3">
      <c r="A13" s="4" t="s">
        <v>87</v>
      </c>
      <c r="B13" s="4" t="s">
        <v>251</v>
      </c>
      <c r="C13" s="4" t="s">
        <v>123</v>
      </c>
      <c r="D13" s="11">
        <v>6221.56</v>
      </c>
      <c r="E13" s="4" t="str">
        <f>IFERROR(INDEX(CP_Setembro!$C$5:$C$126,MATCH("F|"&amp;B13,CP_Setembro!$A$5:$A$126,0)),"(NF não consta no CP de setembro)")</f>
        <v>ROCONTEC CESSAO DE MAO DE OBRA LTDA (Fornecedor)</v>
      </c>
      <c r="F13" s="4" t="str">
        <f>IF(COUNTIF(Conciliacao!$B$5:$B$90,B13)&gt;0,IF(ISNUMBER(MATCH("F|"&amp;B13,CP_Setembro!$A$5:$A$126,0)),"Nesta conciliação","Lote anterior"),"Lote anterior")</f>
        <v>Nesta conciliação</v>
      </c>
      <c r="H13" t="s">
        <v>544</v>
      </c>
      <c r="K13" s="32">
        <f>CP_Setembro!J127</f>
        <v>96525.73</v>
      </c>
    </row>
    <row r="14" spans="1:11" x14ac:dyDescent="0.3">
      <c r="A14" s="4" t="s">
        <v>87</v>
      </c>
      <c r="B14" s="4" t="s">
        <v>157</v>
      </c>
      <c r="C14" s="4" t="s">
        <v>123</v>
      </c>
      <c r="D14" s="11">
        <v>1166.6300000000001</v>
      </c>
      <c r="E14" s="4" t="str">
        <f>IFERROR(INDEX(CP_Setembro!$C$5:$C$126,MATCH("F|"&amp;B14,CP_Setembro!$A$5:$A$126,0)),"(NF não consta no CP de setembro)")</f>
        <v>RS VIGILANCIA E SEGURANCA PRIVADA E CONSERVACAO</v>
      </c>
      <c r="F14" s="4" t="str">
        <f>IF(COUNTIF(Conciliacao!$B$5:$B$90,B14)&gt;0,IF(ISNUMBER(MATCH("F|"&amp;B14,CP_Setembro!$A$5:$A$126,0)),"Nesta conciliação","Lote anterior"),"Lote anterior")</f>
        <v>Nesta conciliação</v>
      </c>
      <c r="H14" t="s">
        <v>545</v>
      </c>
      <c r="K14" s="20">
        <f>I11</f>
        <v>25875.919999999998</v>
      </c>
    </row>
    <row r="15" spans="1:11" x14ac:dyDescent="0.3">
      <c r="A15" s="4" t="s">
        <v>111</v>
      </c>
      <c r="B15" s="4" t="s">
        <v>106</v>
      </c>
      <c r="C15" s="4" t="s">
        <v>392</v>
      </c>
      <c r="D15" s="11">
        <v>300</v>
      </c>
      <c r="E15" s="4" t="str">
        <f>IFERROR(INDEX(CP_Setembro!$C$5:$C$126,MATCH("F|"&amp;B15,CP_Setembro!$A$5:$A$126,0)),"(NF não consta no CP de setembro)")</f>
        <v>CTE GERENCIAMENTO E CONSULTORIA EMPRESARIAL LTDA</v>
      </c>
      <c r="F15" s="4" t="str">
        <f>IF(COUNTIF(Conciliacao!$B$5:$B$90,B15)&gt;0,IF(ISNUMBER(MATCH("F|"&amp;B15,CP_Setembro!$A$5:$A$126,0)),"Nesta conciliação","Lote anterior"),"Lote anterior")</f>
        <v>Nesta conciliação</v>
      </c>
      <c r="H15" s="16" t="s">
        <v>546</v>
      </c>
      <c r="K15" s="17">
        <f>K13-K14</f>
        <v>70649.81</v>
      </c>
    </row>
    <row r="16" spans="1:11" x14ac:dyDescent="0.3">
      <c r="A16" s="4" t="s">
        <v>111</v>
      </c>
      <c r="B16" s="4" t="s">
        <v>170</v>
      </c>
      <c r="C16" s="4" t="s">
        <v>392</v>
      </c>
      <c r="D16" s="11">
        <v>32.33</v>
      </c>
      <c r="E16" s="4" t="str">
        <f>IFERROR(INDEX(CP_Setembro!$C$5:$C$126,MATCH("F|"&amp;B16,CP_Setembro!$A$5:$A$126,0)),"(NF não consta no CP de setembro)")</f>
        <v>(NF não consta no CP de setembro)</v>
      </c>
      <c r="F16" s="4" t="str">
        <f>IF(COUNTIF(Conciliacao!$B$5:$B$90,B16)&gt;0,IF(ISNUMBER(MATCH("F|"&amp;B16,CP_Setembro!$A$5:$A$126,0)),"Nesta conciliação","Lote anterior"),"Lote anterior")</f>
        <v>Lote anterior</v>
      </c>
    </row>
    <row r="17" spans="1:6" s="36" customFormat="1" x14ac:dyDescent="0.3">
      <c r="A17" s="33" t="s">
        <v>111</v>
      </c>
      <c r="B17" s="33" t="s">
        <v>298</v>
      </c>
      <c r="C17" s="33" t="s">
        <v>392</v>
      </c>
      <c r="D17" s="37">
        <v>513.69000000000005</v>
      </c>
      <c r="E17" s="33" t="str">
        <f>IFERROR(INDEX(CP_Setembro!$C$5:$C$126,MATCH("F|"&amp;B17,CP_Setembro!$A$5:$A$126,0)),"(NF não consta no CP de setembro)")</f>
        <v>(NF não consta no CP de setembro)</v>
      </c>
      <c r="F17" s="33" t="str">
        <f>IF(COUNTIF(Conciliacao!$B$5:$B$90,B17)&gt;0,IF(ISNUMBER(MATCH("F|"&amp;B17,CP_Setembro!$A$5:$A$126,0)),"Nesta conciliação","Lote anterior"),"Lote anterior")</f>
        <v>Lote anterior</v>
      </c>
    </row>
    <row r="18" spans="1:6" s="36" customFormat="1" x14ac:dyDescent="0.3">
      <c r="A18" s="33" t="s">
        <v>111</v>
      </c>
      <c r="B18" s="33" t="s">
        <v>202</v>
      </c>
      <c r="C18" s="33" t="s">
        <v>392</v>
      </c>
      <c r="D18" s="37">
        <v>43.5</v>
      </c>
      <c r="E18" s="33" t="str">
        <f>IFERROR(INDEX(CP_Setembro!$C$5:$C$126,MATCH("F|"&amp;B18,CP_Setembro!$A$5:$A$126,0)),"(NF não consta no CP de setembro)")</f>
        <v>GESCORPGO GERENCIAMENTO SERVICOS CORPORATIVOS LTDA</v>
      </c>
      <c r="F18" s="33" t="str">
        <f>IF(COUNTIF(Conciliacao!$B$5:$B$90,B18)&gt;0,IF(ISNUMBER(MATCH("F|"&amp;B18,CP_Setembro!$A$5:$A$126,0)),"Nesta conciliação","Lote anterior"),"Lote anterior")</f>
        <v>Nesta conciliação</v>
      </c>
    </row>
    <row r="19" spans="1:6" s="36" customFormat="1" x14ac:dyDescent="0.3">
      <c r="A19" s="33" t="s">
        <v>111</v>
      </c>
      <c r="B19" s="33" t="s">
        <v>145</v>
      </c>
      <c r="C19" s="33" t="s">
        <v>392</v>
      </c>
      <c r="D19" s="37">
        <v>10.8</v>
      </c>
      <c r="E19" s="33" t="str">
        <f>IFERROR(INDEX(CP_Setembro!$C$5:$C$126,MATCH("F|"&amp;B19,CP_Setembro!$A$5:$A$126,0)),"(NF não consta no CP de setembro)")</f>
        <v>PLANA REFLORESTAMENTO LTDA</v>
      </c>
      <c r="F19" s="33" t="str">
        <f>IF(COUNTIF(Conciliacao!$B$5:$B$90,B19)&gt;0,IF(ISNUMBER(MATCH("F|"&amp;B19,CP_Setembro!$A$5:$A$126,0)),"Nesta conciliação","Lote anterior"),"Lote anterior")</f>
        <v>Nesta conciliação</v>
      </c>
    </row>
    <row r="20" spans="1:6" s="36" customFormat="1" x14ac:dyDescent="0.3">
      <c r="A20" s="33" t="s">
        <v>224</v>
      </c>
      <c r="B20" s="33" t="s">
        <v>220</v>
      </c>
      <c r="C20" s="33" t="s">
        <v>393</v>
      </c>
      <c r="D20" s="37">
        <v>329</v>
      </c>
      <c r="E20" s="33" t="str">
        <f>IFERROR(INDEX(CP_Setembro!$C$5:$C$126,MATCH("F|"&amp;B20,CP_Setembro!$A$5:$A$126,0)),"(NF não consta no CP de setembro)")</f>
        <v>(NF não consta no CP de setembro)</v>
      </c>
      <c r="F20" s="33" t="str">
        <f>IF(COUNTIF(Conciliacao!$B$5:$B$90,B20)&gt;0,IF(ISNUMBER(MATCH("F|"&amp;B20,CP_Setembro!$A$5:$A$126,0)),"Nesta conciliação","Lote anterior"),"Lote anterior")</f>
        <v>Lote anterior</v>
      </c>
    </row>
    <row r="21" spans="1:6" s="36" customFormat="1" x14ac:dyDescent="0.3">
      <c r="A21" s="33" t="s">
        <v>224</v>
      </c>
      <c r="B21" s="33" t="s">
        <v>82</v>
      </c>
      <c r="C21" s="33" t="s">
        <v>393</v>
      </c>
      <c r="D21" s="37">
        <v>350</v>
      </c>
      <c r="E21" s="33" t="str">
        <f>IFERROR(INDEX(CP_Setembro!$C$5:$C$126,MATCH("F|"&amp;B21,CP_Setembro!$A$5:$A$126,0)),"(NF não consta no CP de setembro)")</f>
        <v>(NF não consta no CP de setembro)</v>
      </c>
      <c r="F21" s="33" t="str">
        <f>IF(COUNTIF(Conciliacao!$B$5:$B$90,B21)&gt;0,IF(ISNUMBER(MATCH("F|"&amp;B21,CP_Setembro!$A$5:$A$126,0)),"Nesta conciliação","Lote anterior"),"Lote anterior")</f>
        <v>Lote anterior</v>
      </c>
    </row>
    <row r="22" spans="1:6" s="36" customFormat="1" x14ac:dyDescent="0.3">
      <c r="A22" s="33" t="s">
        <v>224</v>
      </c>
      <c r="B22" s="33" t="s">
        <v>257</v>
      </c>
      <c r="C22" s="33" t="s">
        <v>393</v>
      </c>
      <c r="D22" s="37">
        <v>93.57</v>
      </c>
      <c r="E22" s="33" t="str">
        <f>IFERROR(INDEX(CP_Setembro!$C$5:$C$126,MATCH("F|"&amp;B22,CP_Setembro!$A$5:$A$126,0)),"(NF não consta no CP de setembro)")</f>
        <v>RILE CONSTRUCOES ELETRICAS LTDA</v>
      </c>
      <c r="F22" s="33" t="str">
        <f>IF(COUNTIF(Conciliacao!$B$5:$B$90,B22)&gt;0,IF(ISNUMBER(MATCH("F|"&amp;B22,CP_Setembro!$A$5:$A$126,0)),"Nesta conciliação","Lote anterior"),"Lote anterior")</f>
        <v>Nesta conciliação</v>
      </c>
    </row>
    <row r="23" spans="1:6" s="36" customFormat="1" x14ac:dyDescent="0.3">
      <c r="A23" s="33" t="s">
        <v>224</v>
      </c>
      <c r="B23" s="33" t="s">
        <v>251</v>
      </c>
      <c r="C23" s="33" t="s">
        <v>393</v>
      </c>
      <c r="D23" s="37">
        <v>4355.09</v>
      </c>
      <c r="E23" s="33" t="str">
        <f>IFERROR(INDEX(CP_Setembro!$C$5:$C$126,MATCH("F|"&amp;B23,CP_Setembro!$A$5:$A$126,0)),"(NF não consta no CP de setembro)")</f>
        <v>ROCONTEC CESSAO DE MAO DE OBRA LTDA (Fornecedor)</v>
      </c>
      <c r="F23" s="33" t="str">
        <f>IF(COUNTIF(Conciliacao!$B$5:$B$90,B23)&gt;0,IF(ISNUMBER(MATCH("F|"&amp;B23,CP_Setembro!$A$5:$A$126,0)),"Nesta conciliação","Lote anterior"),"Lote anterior")</f>
        <v>Nesta conciliação</v>
      </c>
    </row>
    <row r="24" spans="1:6" s="36" customFormat="1" x14ac:dyDescent="0.3">
      <c r="A24" s="33" t="s">
        <v>87</v>
      </c>
      <c r="B24" s="33" t="s">
        <v>82</v>
      </c>
      <c r="C24" s="33" t="s">
        <v>412</v>
      </c>
      <c r="D24" s="37">
        <v>500</v>
      </c>
      <c r="E24" s="33" t="str">
        <f>IFERROR(INDEX(CP_Setembro!$C$5:$C$126,MATCH("F|"&amp;B24,CP_Setembro!$A$5:$A$126,0)),"(NF não consta no CP de setembro)")</f>
        <v>(NF não consta no CP de setembro)</v>
      </c>
      <c r="F24" s="33" t="str">
        <f>IF(COUNTIF(Conciliacao!$B$5:$B$90,B24)&gt;0,IF(ISNUMBER(MATCH("F|"&amp;B24,CP_Setembro!$A$5:$A$126,0)),"Nesta conciliação","Lote anterior"),"Lote anterior")</f>
        <v>Lote anterior</v>
      </c>
    </row>
    <row r="25" spans="1:6" s="36" customFormat="1" x14ac:dyDescent="0.3">
      <c r="A25" s="33" t="s">
        <v>87</v>
      </c>
      <c r="B25" s="33" t="s">
        <v>298</v>
      </c>
      <c r="C25" s="33" t="s">
        <v>412</v>
      </c>
      <c r="D25" s="37">
        <v>1712.31</v>
      </c>
      <c r="E25" s="33" t="str">
        <f>IFERROR(INDEX(CP_Setembro!$C$5:$C$126,MATCH("F|"&amp;B25,CP_Setembro!$A$5:$A$126,0)),"(NF não consta no CP de setembro)")</f>
        <v>(NF não consta no CP de setembro)</v>
      </c>
      <c r="F25" s="33" t="str">
        <f>IF(COUNTIF(Conciliacao!$B$5:$B$90,B25)&gt;0,IF(ISNUMBER(MATCH("F|"&amp;B25,CP_Setembro!$A$5:$A$126,0)),"Nesta conciliação","Lote anterior"),"Lote anterior")</f>
        <v>Lote anterior</v>
      </c>
    </row>
    <row r="26" spans="1:6" s="36" customFormat="1" x14ac:dyDescent="0.3">
      <c r="A26" s="33" t="s">
        <v>87</v>
      </c>
      <c r="B26" s="33" t="s">
        <v>96</v>
      </c>
      <c r="C26" s="33" t="s">
        <v>412</v>
      </c>
      <c r="D26" s="37">
        <v>11811.83</v>
      </c>
      <c r="E26" s="33" t="str">
        <f>IFERROR(INDEX(CP_Setembro!$C$5:$C$126,MATCH("F|"&amp;B26,CP_Setembro!$A$5:$A$126,0)),"(NF não consta no CP de setembro)")</f>
        <v>SOLOFIX CONTENCOES E ENGENHARIA LTDA</v>
      </c>
      <c r="F26" s="33" t="str">
        <f>IF(COUNTIF(Conciliacao!$B$5:$B$90,B26)&gt;0,IF(ISNUMBER(MATCH("F|"&amp;B26,CP_Setembro!$A$5:$A$126,0)),"Nesta conciliação","Lote anterior"),"Lote anterior")</f>
        <v>Nesta conciliação</v>
      </c>
    </row>
    <row r="27" spans="1:6" s="36" customFormat="1" x14ac:dyDescent="0.3">
      <c r="A27" s="33" t="s">
        <v>87</v>
      </c>
      <c r="B27" s="33" t="s">
        <v>265</v>
      </c>
      <c r="C27" s="33" t="s">
        <v>412</v>
      </c>
      <c r="D27" s="37">
        <v>112.5</v>
      </c>
      <c r="E27" s="33" t="str">
        <f>IFERROR(INDEX(CP_Setembro!$C$5:$C$126,MATCH("F|"&amp;B27,CP_Setembro!$A$5:$A$126,0)),"(NF não consta no CP de setembro)")</f>
        <v>AGUAJATO TRANSPORTES LTDA</v>
      </c>
      <c r="F27" s="33" t="str">
        <f>IF(COUNTIF(Conciliacao!$B$5:$B$90,B27)&gt;0,IF(ISNUMBER(MATCH("F|"&amp;B27,CP_Setembro!$A$5:$A$126,0)),"Nesta conciliação","Lote anterior"),"Lote anterior")</f>
        <v>Nesta conciliação</v>
      </c>
    </row>
    <row r="28" spans="1:6" s="36" customFormat="1" x14ac:dyDescent="0.3">
      <c r="A28" s="33" t="s">
        <v>214</v>
      </c>
      <c r="B28" s="33" t="s">
        <v>170</v>
      </c>
      <c r="C28" s="33" t="s">
        <v>436</v>
      </c>
      <c r="D28" s="37">
        <v>32.33</v>
      </c>
      <c r="E28" s="33" t="str">
        <f>IFERROR(INDEX(CP_Setembro!$C$5:$C$126,MATCH("F|"&amp;B28,CP_Setembro!$A$5:$A$126,0)),"(NF não consta no CP de setembro)")</f>
        <v>(NF não consta no CP de setembro)</v>
      </c>
      <c r="F28" s="33" t="str">
        <f>IF(COUNTIF(Conciliacao!$B$5:$B$90,B28)&gt;0,IF(ISNUMBER(MATCH("F|"&amp;B28,CP_Setembro!$A$5:$A$126,0)),"Nesta conciliação","Lote anterior"),"Lote anterior")</f>
        <v>Lote anterior</v>
      </c>
    </row>
    <row r="29" spans="1:6" s="36" customFormat="1" x14ac:dyDescent="0.3">
      <c r="A29" s="33" t="s">
        <v>214</v>
      </c>
      <c r="B29" s="33" t="s">
        <v>202</v>
      </c>
      <c r="C29" s="33" t="s">
        <v>436</v>
      </c>
      <c r="D29" s="37">
        <v>29</v>
      </c>
      <c r="E29" s="33" t="str">
        <f>IFERROR(INDEX(CP_Setembro!$C$5:$C$126,MATCH("F|"&amp;B29,CP_Setembro!$A$5:$A$126,0)),"(NF não consta no CP de setembro)")</f>
        <v>GESCORPGO GERENCIAMENTO SERVICOS CORPORATIVOS LTDA</v>
      </c>
      <c r="F29" s="33" t="str">
        <f>IF(COUNTIF(Conciliacao!$B$5:$B$90,B29)&gt;0,IF(ISNUMBER(MATCH("F|"&amp;B29,CP_Setembro!$A$5:$A$126,0)),"Nesta conciliação","Lote anterior"),"Lote anterior")</f>
        <v>Nesta conciliação</v>
      </c>
    </row>
    <row r="30" spans="1:6" s="36" customFormat="1" x14ac:dyDescent="0.3">
      <c r="A30" s="33" t="s">
        <v>214</v>
      </c>
      <c r="B30" s="33" t="s">
        <v>145</v>
      </c>
      <c r="C30" s="33" t="s">
        <v>436</v>
      </c>
      <c r="D30" s="37">
        <v>7.2</v>
      </c>
      <c r="E30" s="33" t="str">
        <f>IFERROR(INDEX(CP_Setembro!$C$5:$C$126,MATCH("F|"&amp;B30,CP_Setembro!$A$5:$A$126,0)),"(NF não consta no CP de setembro)")</f>
        <v>PLANA REFLORESTAMENTO LTDA</v>
      </c>
      <c r="F30" s="33" t="str">
        <f>IF(COUNTIF(Conciliacao!$B$5:$B$90,B30)&gt;0,IF(ISNUMBER(MATCH("F|"&amp;B30,CP_Setembro!$A$5:$A$126,0)),"Nesta conciliação","Lote anterior"),"Lote anterior")</f>
        <v>Nesta conciliação</v>
      </c>
    </row>
    <row r="31" spans="1:6" s="36" customFormat="1" x14ac:dyDescent="0.3">
      <c r="A31" s="33" t="s">
        <v>297</v>
      </c>
      <c r="B31" s="33" t="s">
        <v>298</v>
      </c>
      <c r="C31" s="33" t="s">
        <v>437</v>
      </c>
      <c r="D31" s="37">
        <v>1592.45</v>
      </c>
      <c r="E31" s="33" t="str">
        <f>IFERROR(INDEX(CP_Setembro!$C$5:$C$126,MATCH("F|"&amp;B31,CP_Setembro!$A$5:$A$126,0)),"(NF não consta no CP de setembro)")</f>
        <v>(NF não consta no CP de setembro)</v>
      </c>
      <c r="F31" s="33" t="str">
        <f>IF(COUNTIF(Conciliacao!$B$5:$B$90,B31)&gt;0,IF(ISNUMBER(MATCH("F|"&amp;B31,CP_Setembro!$A$5:$A$126,0)),"Nesta conciliação","Lote anterior"),"Lote anterior")</f>
        <v>Lote anterior</v>
      </c>
    </row>
    <row r="32" spans="1:6" s="36" customFormat="1" x14ac:dyDescent="0.3">
      <c r="A32" s="33" t="s">
        <v>192</v>
      </c>
      <c r="B32" s="33" t="s">
        <v>106</v>
      </c>
      <c r="C32" s="33" t="s">
        <v>438</v>
      </c>
      <c r="D32" s="37">
        <v>600</v>
      </c>
      <c r="E32" s="33" t="str">
        <f>IFERROR(INDEX(CP_Setembro!$C$5:$C$126,MATCH("F|"&amp;B32,CP_Setembro!$A$5:$A$126,0)),"(NF não consta no CP de setembro)")</f>
        <v>CTE GERENCIAMENTO E CONSULTORIA EMPRESARIAL LTDA</v>
      </c>
      <c r="F32" s="33" t="str">
        <f>IF(COUNTIF(Conciliacao!$B$5:$B$90,B32)&gt;0,IF(ISNUMBER(MATCH("F|"&amp;B32,CP_Setembro!$A$5:$A$126,0)),"Nesta conciliação","Lote anterior"),"Lote anterior")</f>
        <v>Nesta conciliação</v>
      </c>
    </row>
    <row r="33" spans="1:6" x14ac:dyDescent="0.3">
      <c r="A33" s="4" t="s">
        <v>192</v>
      </c>
      <c r="B33" s="4" t="s">
        <v>170</v>
      </c>
      <c r="C33" s="4" t="s">
        <v>438</v>
      </c>
      <c r="D33" s="11">
        <v>96.99</v>
      </c>
      <c r="E33" s="4" t="str">
        <f>IFERROR(INDEX(CP_Setembro!$C$5:$C$126,MATCH("F|"&amp;B33,CP_Setembro!$A$5:$A$126,0)),"(NF não consta no CP de setembro)")</f>
        <v>(NF não consta no CP de setembro)</v>
      </c>
      <c r="F33" s="4" t="str">
        <f>IF(COUNTIF(Conciliacao!$B$5:$B$90,B33)&gt;0,IF(ISNUMBER(MATCH("F|"&amp;B33,CP_Setembro!$A$5:$A$126,0)),"Nesta conciliação","Lote anterior"),"Lote anterior")</f>
        <v>Lote anterior</v>
      </c>
    </row>
    <row r="34" spans="1:6" x14ac:dyDescent="0.3">
      <c r="A34" s="4" t="s">
        <v>192</v>
      </c>
      <c r="B34" s="4" t="s">
        <v>202</v>
      </c>
      <c r="C34" s="4" t="s">
        <v>438</v>
      </c>
      <c r="D34" s="11">
        <v>87</v>
      </c>
      <c r="E34" s="4" t="str">
        <f>IFERROR(INDEX(CP_Setembro!$C$5:$C$126,MATCH("F|"&amp;B34,CP_Setembro!$A$5:$A$126,0)),"(NF não consta no CP de setembro)")</f>
        <v>GESCORPGO GERENCIAMENTO SERVICOS CORPORATIVOS LTDA</v>
      </c>
      <c r="F34" s="4" t="str">
        <f>IF(COUNTIF(Conciliacao!$B$5:$B$90,B34)&gt;0,IF(ISNUMBER(MATCH("F|"&amp;B34,CP_Setembro!$A$5:$A$126,0)),"Nesta conciliação","Lote anterior"),"Lote anterior")</f>
        <v>Nesta conciliação</v>
      </c>
    </row>
    <row r="35" spans="1:6" x14ac:dyDescent="0.3">
      <c r="A35" s="4" t="s">
        <v>192</v>
      </c>
      <c r="B35" s="4" t="s">
        <v>145</v>
      </c>
      <c r="C35" s="4" t="s">
        <v>438</v>
      </c>
      <c r="D35" s="11">
        <v>21.6</v>
      </c>
      <c r="E35" s="4" t="str">
        <f>IFERROR(INDEX(CP_Setembro!$C$5:$C$126,MATCH("F|"&amp;B35,CP_Setembro!$A$5:$A$126,0)),"(NF não consta no CP de setembro)")</f>
        <v>PLANA REFLORESTAMENTO LTDA</v>
      </c>
      <c r="F35" s="4" t="str">
        <f>IF(COUNTIF(Conciliacao!$B$5:$B$90,B35)&gt;0,IF(ISNUMBER(MATCH("F|"&amp;B35,CP_Setembro!$A$5:$A$126,0)),"Nesta conciliação","Lote anterior"),"Lote anterior")</f>
        <v>Nesta conciliação</v>
      </c>
    </row>
    <row r="36" spans="1:6" x14ac:dyDescent="0.3">
      <c r="A36" s="4" t="s">
        <v>149</v>
      </c>
      <c r="B36" s="4" t="s">
        <v>106</v>
      </c>
      <c r="C36" s="4" t="s">
        <v>439</v>
      </c>
      <c r="D36" s="11">
        <v>330</v>
      </c>
      <c r="E36" s="4" t="str">
        <f>IFERROR(INDEX(CP_Setembro!$C$5:$C$126,MATCH("F|"&amp;B36,CP_Setembro!$A$5:$A$126,0)),"(NF não consta no CP de setembro)")</f>
        <v>CTE GERENCIAMENTO E CONSULTORIA EMPRESARIAL LTDA</v>
      </c>
      <c r="F36" s="4" t="str">
        <f>IF(COUNTIF(Conciliacao!$B$5:$B$90,B36)&gt;0,IF(ISNUMBER(MATCH("F|"&amp;B36,CP_Setembro!$A$5:$A$126,0)),"Nesta conciliação","Lote anterior"),"Lote anterior")</f>
        <v>Nesta conciliação</v>
      </c>
    </row>
    <row r="37" spans="1:6" x14ac:dyDescent="0.3">
      <c r="A37" s="4" t="s">
        <v>149</v>
      </c>
      <c r="B37" s="4" t="s">
        <v>170</v>
      </c>
      <c r="C37" s="4" t="s">
        <v>439</v>
      </c>
      <c r="D37" s="11">
        <v>21.01</v>
      </c>
      <c r="E37" s="4" t="str">
        <f>IFERROR(INDEX(CP_Setembro!$C$5:$C$126,MATCH("F|"&amp;B37,CP_Setembro!$A$5:$A$126,0)),"(NF não consta no CP de setembro)")</f>
        <v>(NF não consta no CP de setembro)</v>
      </c>
      <c r="F37" s="4" t="str">
        <f>IF(COUNTIF(Conciliacao!$B$5:$B$90,B37)&gt;0,IF(ISNUMBER(MATCH("F|"&amp;B37,CP_Setembro!$A$5:$A$126,0)),"Nesta conciliação","Lote anterior"),"Lote anterior")</f>
        <v>Lote anterior</v>
      </c>
    </row>
    <row r="38" spans="1:6" x14ac:dyDescent="0.3">
      <c r="A38" s="4" t="s">
        <v>149</v>
      </c>
      <c r="B38" s="4" t="s">
        <v>202</v>
      </c>
      <c r="C38" s="4" t="s">
        <v>439</v>
      </c>
      <c r="D38" s="11">
        <v>18.850000000000001</v>
      </c>
      <c r="E38" s="4" t="str">
        <f>IFERROR(INDEX(CP_Setembro!$C$5:$C$126,MATCH("F|"&amp;B38,CP_Setembro!$A$5:$A$126,0)),"(NF não consta no CP de setembro)")</f>
        <v>GESCORPGO GERENCIAMENTO SERVICOS CORPORATIVOS LTDA</v>
      </c>
      <c r="F38" s="4" t="str">
        <f>IF(COUNTIF(Conciliacao!$B$5:$B$90,B38)&gt;0,IF(ISNUMBER(MATCH("F|"&amp;B38,CP_Setembro!$A$5:$A$126,0)),"Nesta conciliação","Lote anterior"),"Lote anterior")</f>
        <v>Nesta conciliação</v>
      </c>
    </row>
    <row r="39" spans="1:6" x14ac:dyDescent="0.3">
      <c r="A39" s="4" t="s">
        <v>149</v>
      </c>
      <c r="B39" s="4" t="s">
        <v>145</v>
      </c>
      <c r="C39" s="4" t="s">
        <v>439</v>
      </c>
      <c r="D39" s="11">
        <v>4.68</v>
      </c>
      <c r="E39" s="4" t="str">
        <f>IFERROR(INDEX(CP_Setembro!$C$5:$C$126,MATCH("F|"&amp;B39,CP_Setembro!$A$5:$A$126,0)),"(NF não consta no CP de setembro)")</f>
        <v>PLANA REFLORESTAMENTO LTDA</v>
      </c>
      <c r="F39" s="4" t="str">
        <f>IF(COUNTIF(Conciliacao!$B$5:$B$90,B39)&gt;0,IF(ISNUMBER(MATCH("F|"&amp;B39,CP_Setembro!$A$5:$A$126,0)),"Nesta conciliação","Lote anterior"),"Lote anterior")</f>
        <v>Nesta conciliação</v>
      </c>
    </row>
    <row r="40" spans="1:6" x14ac:dyDescent="0.3">
      <c r="C40" s="16" t="s">
        <v>282</v>
      </c>
      <c r="D40" s="17">
        <f>SUM(D4:D39)</f>
        <v>32175.130000000005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Resumo</vt:lpstr>
      <vt:lpstr>Impostos_Base</vt:lpstr>
      <vt:lpstr>Cruz_Tributos</vt:lpstr>
      <vt:lpstr>CP_Setembro</vt:lpstr>
      <vt:lpstr>Conciliacao</vt:lpstr>
      <vt:lpstr>Cruzamento</vt:lpstr>
      <vt:lpstr>Tributos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Daniel Matheus Polvere</cp:lastModifiedBy>
  <cp:revision>0</cp:revision>
  <dcterms:created xsi:type="dcterms:W3CDTF">2026-10-17T14:36:59Z</dcterms:created>
  <dcterms:modified xsi:type="dcterms:W3CDTF">2026-10-17T15:09:57Z</dcterms:modified>
  <dc:language>en-US</dc:language>
</cp:coreProperties>
</file>